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G:\Meu Drive\COMERCIAL\VIPPIM VIGILÂNCIA\PREGÕES\2024\BRIGADA\DATAPREV\1 - PROPOSTA LANCE\"/>
    </mc:Choice>
  </mc:AlternateContent>
  <xr:revisionPtr revIDLastSave="0" documentId="13_ncr:1_{2FE74BE7-7AA3-4742-9B28-A601DE2F5BAB}" xr6:coauthVersionLast="47" xr6:coauthVersionMax="47" xr10:uidLastSave="{00000000-0000-0000-0000-000000000000}"/>
  <bookViews>
    <workbookView xWindow="-120" yWindow="-120" windowWidth="20730" windowHeight="11160" tabRatio="740" xr2:uid="{00000000-000D-0000-FFFF-FFFF00000000}"/>
  </bookViews>
  <sheets>
    <sheet name="Proposta" sheetId="32" r:id="rId1"/>
    <sheet name="TOTAL IN 05" sheetId="16" r:id="rId2"/>
    <sheet name="RESERVA MENSAL IN 05" sheetId="11" r:id="rId3"/>
    <sheet name="CHEFE BRIG 12X36" sheetId="22" r:id="rId4"/>
    <sheet name="CHEFE BRIG FOLGUISTA" sheetId="28" r:id="rId5"/>
    <sheet name="BP 12X36 DIURNO" sheetId="19" r:id="rId6"/>
    <sheet name="BP DIURNO FOLGUISTA" sheetId="29" r:id="rId7"/>
    <sheet name="BP 12X36 NOTURNO" sheetId="10" r:id="rId8"/>
    <sheet name="BP NOTURNO FOLGUISTA" sheetId="30" r:id="rId9"/>
    <sheet name="TREINAMENTOS" sheetId="31" r:id="rId10"/>
    <sheet name="UNIFORMES" sheetId="24" r:id="rId11"/>
    <sheet name="EQUIPAMENTOS" sheetId="26" r:id="rId12"/>
    <sheet name="MATERIAIS" sheetId="27" r:id="rId13"/>
  </sheets>
  <externalReferences>
    <externalReference r:id="rId14"/>
    <externalReference r:id="rId15"/>
    <externalReference r:id="rId16"/>
  </externalReferences>
  <definedNames>
    <definedName name="__xlnm.Print_Area_1">#REF!</definedName>
    <definedName name="__xlnm.Print_Area_2">#REF!</definedName>
    <definedName name="__xlnm.Print_Area_3">#REF!</definedName>
    <definedName name="_1Sem_nome">#REF!</definedName>
    <definedName name="_P1">#REF!</definedName>
    <definedName name="_P2">#REF!</definedName>
    <definedName name="_p3">#REF!</definedName>
    <definedName name="_Sem_nome">#REF!</definedName>
    <definedName name="A">#REF!</definedName>
    <definedName name="ACORDO_COLETIVO">'[1]INSERÇÃO-DE-DADOS (POSTOS)'!$G$14</definedName>
    <definedName name="_xlnm.Print_Area" localSheetId="0">Proposta!$A$1:$K$66</definedName>
    <definedName name="asdf">#REF!</definedName>
    <definedName name="asdff">#REF!</definedName>
    <definedName name="asdfff">#REF!</definedName>
    <definedName name="BRIGADISTA_DIURNO_12X36H_ACORDO_COLETIVO">'[1]INSERÇÃO-DE-DADOS (POSTOS)'!$N$14</definedName>
    <definedName name="BRIGADISTA_DIURNO_12X36H_CATEGORIA_PROFISSIONAL">'[1]INSERÇÃO-DE-DADOS (POSTOS)'!$L$23</definedName>
    <definedName name="BRIGADISTA_DIURNO_12X36H_CBO">'[1]INSERÇÃO-DE-DADOS (POSTOS)'!$L$22</definedName>
    <definedName name="BRIGADISTA_DIURNO_12X36H_DATA_APRESENTACAO_PROPOSTA">'[1]INSERÇÃO-DE-DADOS (POSTOS)'!$N$11</definedName>
    <definedName name="BRIGADISTA_DIURNO_12X36H_DATA_BASE_CATEGORIA">'[1]INSERÇÃO-DE-DADOS (POSTOS)'!$N$24</definedName>
    <definedName name="BRIGADISTA_DIURNO_12X36H_DATA_DO_ORCAMENTO_ESTIMATIVO">'[1]INSERÇÃO-DE-DADOS (POSTOS)'!$N$2</definedName>
    <definedName name="BRIGADISTA_DIURNO_12X36H_DIAS_TRABALHADOS_NO_MES">'[1]INSERÇÃO-DE-DADOS (POSTOS)'!$N$38</definedName>
    <definedName name="BRIGADISTA_DIURNO_12X36H_EMPREG_POR_POSTO">'[1]INSERÇÃO-DE-DADOS (POSTOS)'!$M$19</definedName>
    <definedName name="BRIGADISTA_DIURNO_12X36H_EQUIPAMENTOS">'[1]INSERÇÃO-DE-DADOS (POSTOS)'!$N$50</definedName>
    <definedName name="BRIGADISTA_DIURNO_12X36H_LOCAL_DE_EXECUCAO">'[1]INSERÇÃO-DE-DADOS (POSTOS)'!$L$12</definedName>
    <definedName name="BRIGADISTA_DIURNO_12X36H_MATERIAIS">'[1]INSERÇÃO-DE-DADOS (POSTOS)'!$N$49</definedName>
    <definedName name="BRIGADISTA_DIURNO_12X36H_NUMERO_MESES_EXEC_CONTRATUAL">'[1]INSERÇÃO-DE-DADOS (POSTOS)'!$N$15</definedName>
    <definedName name="BRIGADISTA_DIURNO_12X36H_RAMO">'[1]INSERÇÃO-DE-DADOS (POSTOS)'!$J$1</definedName>
    <definedName name="BRIGADISTA_DIURNO_12X36H_TIPO_DE_SERVICO">'[1]INSERÇÃO-DE-DADOS (POSTOS)'!$K$19</definedName>
    <definedName name="BRIGADISTA_DIURNO_12X36H_TRANSPORTE_POR_DIA">'[1]INSERÇÃO-DE-DADOS (POSTOS)'!$N$36</definedName>
    <definedName name="BRIGADISTA_DIURNO_12X36H_UG">'[1]INSERÇÃO-DE-DADOS (POSTOS)'!$J$2</definedName>
    <definedName name="BRIGADISTA_DIURNO_12X36H_UNIFORMES">'[1]INSERÇÃO-DE-DADOS (POSTOS)'!$N$48</definedName>
    <definedName name="BRIGADISTA_NOTURNO_12X36H_ACORDO_COLETIVO">'[1]INSERÇÃO-DE-DADOS (POSTOS)'!$U$14</definedName>
    <definedName name="BRIGADISTA_NOTURNO_12X36H_CATEGORIA_PROFISSIONAL">'[1]INSERÇÃO-DE-DADOS (POSTOS)'!$S$23</definedName>
    <definedName name="BRIGADISTA_NOTURNO_12X36H_CBO">'[1]INSERÇÃO-DE-DADOS (POSTOS)'!$S$22</definedName>
    <definedName name="BRIGADISTA_NOTURNO_12X36H_DATA_APRESENTACAO_PROPOSTA">'[1]INSERÇÃO-DE-DADOS (POSTOS)'!$U$11</definedName>
    <definedName name="BRIGADISTA_NOTURNO_12X36H_DATA_BASE_CATEGORIA">'[1]INSERÇÃO-DE-DADOS (POSTOS)'!$U$24</definedName>
    <definedName name="BRIGADISTA_NOTURNO_12X36H_DATA_DO_ORCAMENTO_ESTIMATIVO">'[1]INSERÇÃO-DE-DADOS (POSTOS)'!$U$2</definedName>
    <definedName name="BRIGADISTA_NOTURNO_12X36H_DIAS_TRABALHADOS_NO_MES">'[1]INSERÇÃO-DE-DADOS (POSTOS)'!$U$38</definedName>
    <definedName name="BRIGADISTA_NOTURNO_12X36H_EMPREG_POR_POSTO">'[1]INSERÇÃO-DE-DADOS (POSTOS)'!$T$19</definedName>
    <definedName name="BRIGADISTA_NOTURNO_12X36H_EQUIPAMENTOS">'[1]INSERÇÃO-DE-DADOS (POSTOS)'!$U$50</definedName>
    <definedName name="BRIGADISTA_NOTURNO_12X36H_LOCAL_DE_EXECUCAO">'[1]INSERÇÃO-DE-DADOS (POSTOS)'!$S$12</definedName>
    <definedName name="BRIGADISTA_NOTURNO_12X36H_MATERIAIS">'[1]INSERÇÃO-DE-DADOS (POSTOS)'!$U$49</definedName>
    <definedName name="BRIGADISTA_NOTURNO_12X36H_NUMERO_MESES_EXEC_CONTRATUAL">'[1]INSERÇÃO-DE-DADOS (POSTOS)'!$U$15</definedName>
    <definedName name="BRIGADISTA_NOTURNO_12X36H_PERC_ADIC_NOT">'[1]INSERÇÃO-DE-DADOS (POSTOS)'!$U$31</definedName>
    <definedName name="BRIGADISTA_NOTURNO_12X36H_PERC_ADIC_PERIC">'[1]INSERÇÃO-DE-DADOS (POSTOS)'!$U$30</definedName>
    <definedName name="BRIGADISTA_NOTURNO_12X36H_PERC_COFINS">'[1]INSERÇÃO-DE-DADOS (POSTOS)'!$U$57</definedName>
    <definedName name="BRIGADISTA_NOTURNO_12X36H_PERC_CUSTOS_INDIRETOS">'[1]INSERÇÃO-DE-DADOS (POSTOS)'!$U$54</definedName>
    <definedName name="BRIGADISTA_NOTURNO_12X36H_PERC_ISS">'[1]INSERÇÃO-DE-DADOS (POSTOS)'!$U$58</definedName>
    <definedName name="BRIGADISTA_NOTURNO_12X36H_PERC_LUCRO">'[1]INSERÇÃO-DE-DADOS (POSTOS)'!$U$55</definedName>
    <definedName name="BRIGADISTA_NOTURNO_12X36H_PERC_PIS">'[1]INSERÇÃO-DE-DADOS (POSTOS)'!$U$56</definedName>
    <definedName name="BRIGADISTA_NOTURNO_12X36H_RAMO">'[1]INSERÇÃO-DE-DADOS (POSTOS)'!$Q$1</definedName>
    <definedName name="BRIGADISTA_NOTURNO_12X36H_SALARIO_BASE">'[1]INSERÇÃO-DE-DADOS (POSTOS)'!$U$29</definedName>
    <definedName name="BRIGADISTA_NOTURNO_12X36H_TIPO_DE_SERVICO">'[1]INSERÇÃO-DE-DADOS (POSTOS)'!$R$19</definedName>
    <definedName name="BRIGADISTA_NOTURNO_12X36H_TRANSPORTE_POR_DIA">'[1]INSERÇÃO-DE-DADOS (POSTOS)'!$U$36</definedName>
    <definedName name="BRIGADISTA_NOTURNO_12X36H_UG">'[1]INSERÇÃO-DE-DADOS (POSTOS)'!$Q$2</definedName>
    <definedName name="BRIGADISTA_NOTURNO_12X36H_UNIFORMES">'[1]INSERÇÃO-DE-DADOS (POSTOS)'!$U$48</definedName>
    <definedName name="BuiltIn_Print_Area">#REF!</definedName>
    <definedName name="BuiltIn_Print_Area___0">#REF!</definedName>
    <definedName name="CATEGORIA_PROFISSIONAL">'[1]INSERÇÃO-DE-DADOS (POSTOS)'!$E$23</definedName>
    <definedName name="CBO">'[1]INSERÇÃO-DE-DADOS (POSTOS)'!$E$22</definedName>
    <definedName name="CHEFE">#REF!</definedName>
    <definedName name="DATA_APRESENTACAO_PROPOSTA">'[1]INSERÇÃO-DE-DADOS (POSTOS)'!$G$11</definedName>
    <definedName name="DATA_BASE_CATEGORIA">'[1]INSERÇÃO-DE-DADOS (POSTOS)'!$G$24</definedName>
    <definedName name="DATA_DO_ORCAMENTO_ESTIMATIVO">'[1]INSERÇÃO-DE-DADOS (POSTOS)'!$G$2</definedName>
    <definedName name="DIAS_AUSENCIAS_LEGAIS">'[1]DADOS-ESTATISTICOS'!$F$27</definedName>
    <definedName name="DIAS_LICENCA_MATERNIDADE">'[1]DADOS-ESTATISTICOS'!$F$33</definedName>
    <definedName name="DIAS_LICENCA_PATERNIDADE">'[1]DADOS-ESTATISTICOS'!$F$28</definedName>
    <definedName name="DIAS_NA_SEMANA">'[1]DADOS-ESTATISTICOS'!$F$5</definedName>
    <definedName name="DIAS_NO_MES">'[1]DADOS-ESTATISTICOS'!$F$22</definedName>
    <definedName name="DIAS_PAGOS_EMPRESA_ACID_TRAB">'[1]DADOS-ESTATISTICOS'!$F$32</definedName>
    <definedName name="DIAS_TRABALHADOS_NO_MES">'[1]INSERÇÃO-DE-DADOS (POSTOS)'!$G$38</definedName>
    <definedName name="DIVISOR_DE_HORAS">'[1]DADOS-ESTATISTICOS'!$F$4</definedName>
    <definedName name="DNPM">#REF!</definedName>
    <definedName name="EMPREG_POR_POSTO">'[1]INSERÇÃO-DE-DADOS (POSTOS)'!$F$19</definedName>
    <definedName name="EQUIPAMENTOS">'[1]INSERÇÃO-DE-DADOS (POSTOS)'!$G$50</definedName>
    <definedName name="Excel_BuiltIn_Print_Area_1">#REF!</definedName>
    <definedName name="Excel_BuiltIn_Print_Area_1_1">#REF!</definedName>
    <definedName name="Excel_BuiltIn_Print_Area_1_2">#N/A</definedName>
    <definedName name="Excel_BuiltIn_Print_Area_2">#REF!</definedName>
    <definedName name="Excel_BuiltIn_Print_Area_2_2">#N/A</definedName>
    <definedName name="HORA_NORMAL">'[1]DADOS-ESTATISTICOS'!$F$9</definedName>
    <definedName name="HORA_NOTURNA">'[1]DADOS-ESTATISTICOS'!$F$10</definedName>
    <definedName name="ISS">#REF!</definedName>
    <definedName name="jornad">'[2]Salários e benefícios'!$H$8:$H$9</definedName>
    <definedName name="Lista1">#REF!</definedName>
    <definedName name="LOCAL_DE_EXECUCAO">'[1]INSERÇÃO-DE-DADOS (POSTOS)'!$E$12</definedName>
    <definedName name="luciene">#REF!</definedName>
    <definedName name="MATERIAIS">'[1]INSERÇÃO-DE-DADOS (POSTOS)'!$G$49</definedName>
    <definedName name="MEDIA_ANUAL_DIAS_TRABALHO_MES">'[1]DADOS-ESTATISTICOS'!$F$7</definedName>
    <definedName name="MESES_NO_ANO">'[1]DADOS-ESTATISTICOS'!$F$8</definedName>
    <definedName name="MODALIDADE_DE_LICITACAO">'[1]INSERÇÃO-DE-DADOS (POSTOS)'!$E$7</definedName>
    <definedName name="NUMERO_MESES_EXEC_CONTRATUAL">'[1]INSERÇÃO-DE-DADOS (POSTOS)'!$G$15</definedName>
    <definedName name="NUMERO_PREGAO">'[1]INSERÇÃO-DE-DADOS (POSTOS)'!$G$7</definedName>
    <definedName name="NUMERO_PROCESSO">'[1]INSERÇÃO-DE-DADOS (POSTOS)'!$E$6</definedName>
    <definedName name="OK">#REF!</definedName>
    <definedName name="OUTRAS_AUSENCIAS_DESCRICAO">'[1]INSERÇÃO-DE-DADOS (POSTOS)'!$D$43</definedName>
    <definedName name="PageMaker">#REF!</definedName>
    <definedName name="PAT">'[2]Salários e benefícios'!#REF!</definedName>
    <definedName name="PERC_ADIC_FERIAS">'[1]ENCARGOS-SOCIAIS-E-TRABALHISTAS'!$E$6</definedName>
    <definedName name="PERC_AVISO_PREVIO_IND">'[1]ENCARGOS-SOCIAIS-E-TRABALHISTAS'!$E$20</definedName>
    <definedName name="PERC_AVISO_PREVIO_TRAB">'[1]ENCARGOS-SOCIAIS-E-TRABALHISTAS'!$E$21</definedName>
    <definedName name="PERC_COFINS">'[1]INSERÇÃO-DE-DADOS (POSTOS)'!$G$57</definedName>
    <definedName name="PERC_DEC_TERC">'[1]ENCARGOS-SOCIAIS-E-TRABALHISTAS'!$E$5</definedName>
    <definedName name="PERC_DESC_TRANSP_REMUNERACAO">'[1]DADOS-ESTATISTICOS'!$F$14</definedName>
    <definedName name="PERC_EMPREG_AFAST_TRAB">'[1]DADOS-ESTATISTICOS'!$F$31</definedName>
    <definedName name="PERC_EMPREG_AVISO_PREVIO_IND">'[1]DADOS-ESTATISTICOS'!$F$19</definedName>
    <definedName name="PERC_EMPREG_AVISO_PREVIO_TRAB">'[1]DADOS-ESTATISTICOS'!$F$21</definedName>
    <definedName name="PERC_EMPREG_DEMIT_SEM_JUSTA_CAUSA_TOTAL_DESLIG">'[1]DADOS-ESTATISTICOS'!$F$18</definedName>
    <definedName name="PERC_FGTS">'[1]ENCARGOS-SOCIAIS-E-TRABALHISTAS'!$E$16</definedName>
    <definedName name="PERC_GPS_FGTS">'[1]ENCARGOS-SOCIAIS-E-TRABALHISTAS'!$E$17</definedName>
    <definedName name="PERC_INCRA">'[1]ENCARGOS-SOCIAIS-E-TRABALHISTAS'!$E$15</definedName>
    <definedName name="PERC_INSS">'[1]ENCARGOS-SOCIAIS-E-TRABALHISTAS'!$E$9</definedName>
    <definedName name="PERC_ISS">'[1]INSERÇÃO-DE-DADOS (POSTOS)'!$G$58</definedName>
    <definedName name="PERC_MULTA_FGTS">'[1]DADOS-ESTATISTICOS'!$F$20</definedName>
    <definedName name="PERC_MULTA_FGTS_AV_PREV_TRAB">'[1]ENCARGOS-SOCIAIS-E-TRABALHISTAS'!$E$22</definedName>
    <definedName name="PERC_NASCIDOS_VIVOS_POPUL_FEM">'[1]DADOS-ESTATISTICOS'!$F$29</definedName>
    <definedName name="PERC_PARTIC_FEM_VIGIL">'[1]DADOS-ESTATISTICOS'!$F$34</definedName>
    <definedName name="PERC_PARTIC_MASC_VIGIL">'[1]DADOS-ESTATISTICOS'!$F$30</definedName>
    <definedName name="PERC_PIS">'[1]INSERÇÃO-DE-DADOS (POSTOS)'!$G$56</definedName>
    <definedName name="PERC_SAL_EDUCACAO">'[1]ENCARGOS-SOCIAIS-E-TRABALHISTAS'!$E$10</definedName>
    <definedName name="PERC_SEBRAE">'[1]ENCARGOS-SOCIAIS-E-TRABALHISTAS'!$E$14</definedName>
    <definedName name="PERC_SENAC">'[1]ENCARGOS-SOCIAIS-E-TRABALHISTAS'!$E$13</definedName>
    <definedName name="PERC_SESC">'[1]ENCARGOS-SOCIAIS-E-TRABALHISTAS'!$E$12</definedName>
    <definedName name="PERC_SUBSTITUTO_ACID_TRAB">'[1]ENCARGOS-SOCIAIS-E-TRABALHISTAS'!$E$29</definedName>
    <definedName name="PERC_SUBSTITUTO_AFAST_MATERN">'[1]ENCARGOS-SOCIAIS-E-TRABALHISTAS'!$E$30</definedName>
    <definedName name="PERC_SUBSTITUTO_AUSENCIAS_LEGAIS">'[1]ENCARGOS-SOCIAIS-E-TRABALHISTAS'!$E$27</definedName>
    <definedName name="PERC_SUBSTITUTO_FERIAS">'[1]ENCARGOS-SOCIAIS-E-TRABALHISTAS'!$E$26</definedName>
    <definedName name="PERC_SUBSTITUTO_LICENCA_PATERNIDADE">'[1]ENCARGOS-SOCIAIS-E-TRABALHISTAS'!$E$28</definedName>
    <definedName name="PERC_SUBSTITUTO_OUTRAS_AUSENCIAS">'[1]INSERÇÃO-DE-DADOS (POSTOS)'!$G$43</definedName>
    <definedName name="Po">#REF!</definedName>
    <definedName name="RAMO">'[1]INSERÇÃO-DE-DADOS (POSTOS)'!$C$1</definedName>
    <definedName name="Serviços">#REF!</definedName>
    <definedName name="ssss">#REF!</definedName>
    <definedName name="sssss">#REF!</definedName>
    <definedName name="Teste">#REF!</definedName>
    <definedName name="TIPO_DE_SERVICO">'[1]INSERÇÃO-DE-DADOS (POSTOS)'!$D$19</definedName>
    <definedName name="tiposerviço">'[2]Salários e benefícios'!$B$31:$B$38</definedName>
    <definedName name="To">#REF!</definedName>
    <definedName name="TRANSPORTE_POR_DIA">'[1]INSERÇÃO-DE-DADOS (POSTOS)'!$G$36</definedName>
    <definedName name="turn">'[2]Salários e benefícios'!$H$3:$H$6</definedName>
    <definedName name="UG">'[1]INSERÇÃO-DE-DADOS (POSTOS)'!$C$2</definedName>
    <definedName name="Uniforme">#REF!</definedName>
    <definedName name="UniformeMensageiro">#REF!</definedName>
    <definedName name="UniformeMensageiros">#REF!</definedName>
    <definedName name="UniformeRecepcionista">#REF!</definedName>
    <definedName name="UNIFORMES">'[1]INSERÇÃO-DE-DADOS (POSTOS)'!$G$48</definedName>
    <definedName name="VALOR_TOTAL_POSTO">#REF!</definedName>
    <definedName name="vvvv">#REF!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5" i="32" l="1"/>
  <c r="J33" i="32"/>
  <c r="J34" i="32"/>
  <c r="K34" i="32" s="1"/>
  <c r="E68" i="32"/>
  <c r="G30" i="32"/>
  <c r="D30" i="32"/>
  <c r="G29" i="32"/>
  <c r="D29" i="32"/>
  <c r="G28" i="32"/>
  <c r="D28" i="32"/>
  <c r="G27" i="32"/>
  <c r="D27" i="32"/>
  <c r="G26" i="32"/>
  <c r="D26" i="32"/>
  <c r="G25" i="32"/>
  <c r="D25" i="32"/>
  <c r="C136" i="30" l="1"/>
  <c r="C135" i="30"/>
  <c r="C134" i="30"/>
  <c r="C96" i="30"/>
  <c r="C88" i="30"/>
  <c r="C87" i="30"/>
  <c r="C86" i="30"/>
  <c r="C71" i="30"/>
  <c r="C68" i="30"/>
  <c r="D52" i="30"/>
  <c r="D50" i="30"/>
  <c r="D49" i="30"/>
  <c r="C48" i="30"/>
  <c r="C47" i="30"/>
  <c r="C40" i="30"/>
  <c r="C39" i="30"/>
  <c r="C38" i="30"/>
  <c r="C37" i="30"/>
  <c r="C36" i="30"/>
  <c r="C35" i="30"/>
  <c r="C34" i="30"/>
  <c r="C33" i="30"/>
  <c r="C136" i="10"/>
  <c r="C135" i="10"/>
  <c r="C134" i="10"/>
  <c r="C96" i="10"/>
  <c r="C90" i="10"/>
  <c r="C88" i="10"/>
  <c r="C87" i="10"/>
  <c r="C86" i="10"/>
  <c r="C71" i="10"/>
  <c r="C68" i="10"/>
  <c r="D52" i="10"/>
  <c r="D50" i="10"/>
  <c r="D49" i="10"/>
  <c r="C48" i="10"/>
  <c r="C47" i="10"/>
  <c r="C40" i="10"/>
  <c r="C39" i="10"/>
  <c r="C38" i="10"/>
  <c r="C37" i="10"/>
  <c r="C36" i="10"/>
  <c r="C35" i="10"/>
  <c r="C34" i="10"/>
  <c r="C33" i="10"/>
  <c r="C136" i="29"/>
  <c r="C135" i="29"/>
  <c r="C134" i="29"/>
  <c r="C96" i="29"/>
  <c r="C90" i="29"/>
  <c r="C88" i="29"/>
  <c r="C87" i="29"/>
  <c r="C86" i="29"/>
  <c r="C71" i="29"/>
  <c r="C68" i="29"/>
  <c r="D52" i="29"/>
  <c r="D50" i="29"/>
  <c r="D49" i="29"/>
  <c r="C48" i="29"/>
  <c r="C47" i="29"/>
  <c r="C40" i="29"/>
  <c r="C39" i="29"/>
  <c r="C38" i="29"/>
  <c r="C37" i="29"/>
  <c r="C36" i="29"/>
  <c r="C35" i="29"/>
  <c r="C34" i="29"/>
  <c r="C33" i="29"/>
  <c r="C136" i="28"/>
  <c r="C136" i="19" s="1"/>
  <c r="C134" i="28"/>
  <c r="C134" i="19" s="1"/>
  <c r="C132" i="28"/>
  <c r="C132" i="19" s="1"/>
  <c r="C131" i="28"/>
  <c r="C131" i="19" s="1"/>
  <c r="C135" i="19"/>
  <c r="C96" i="19"/>
  <c r="C90" i="19"/>
  <c r="C88" i="19"/>
  <c r="C87" i="19"/>
  <c r="C86" i="19"/>
  <c r="C71" i="19"/>
  <c r="C68" i="19"/>
  <c r="D52" i="19"/>
  <c r="D50" i="19"/>
  <c r="D49" i="19"/>
  <c r="C48" i="19"/>
  <c r="C47" i="19"/>
  <c r="C40" i="19"/>
  <c r="C39" i="19"/>
  <c r="C38" i="19"/>
  <c r="C37" i="19"/>
  <c r="C36" i="19"/>
  <c r="C35" i="19"/>
  <c r="C34" i="19"/>
  <c r="C33" i="19"/>
  <c r="C132" i="30" l="1"/>
  <c r="C132" i="10"/>
  <c r="C132" i="29"/>
  <c r="C131" i="30"/>
  <c r="C131" i="10"/>
  <c r="C131" i="29"/>
  <c r="C96" i="28"/>
  <c r="C88" i="28"/>
  <c r="C87" i="28"/>
  <c r="C86" i="28"/>
  <c r="C71" i="28"/>
  <c r="C68" i="28"/>
  <c r="D52" i="28"/>
  <c r="D50" i="28"/>
  <c r="D49" i="28"/>
  <c r="C48" i="28"/>
  <c r="C47" i="28"/>
  <c r="C40" i="28"/>
  <c r="C39" i="28"/>
  <c r="C38" i="28"/>
  <c r="C37" i="28"/>
  <c r="C36" i="28"/>
  <c r="C35" i="28"/>
  <c r="C34" i="28"/>
  <c r="C33" i="28"/>
  <c r="D48" i="30" l="1"/>
  <c r="D48" i="10"/>
  <c r="D48" i="29"/>
  <c r="D48" i="19"/>
  <c r="D48" i="28"/>
  <c r="D48" i="22"/>
  <c r="D47" i="22"/>
  <c r="D11" i="30" l="1"/>
  <c r="D47" i="30" s="1"/>
  <c r="D11" i="29"/>
  <c r="D47" i="29" s="1"/>
  <c r="D11" i="28"/>
  <c r="D47" i="28" s="1"/>
  <c r="G6" i="31"/>
  <c r="C18" i="16" s="1"/>
  <c r="D47" i="10"/>
  <c r="D47" i="19"/>
  <c r="F30" i="26" l="1"/>
  <c r="F29" i="26"/>
  <c r="F23" i="26"/>
  <c r="F22" i="26"/>
  <c r="F11" i="27"/>
  <c r="F10" i="27"/>
  <c r="J11" i="11"/>
  <c r="J9" i="11"/>
  <c r="J7" i="11"/>
  <c r="J10" i="11"/>
  <c r="C133" i="30"/>
  <c r="D107" i="30"/>
  <c r="D115" i="30" s="1"/>
  <c r="D53" i="30"/>
  <c r="D61" i="30" s="1"/>
  <c r="C41" i="30"/>
  <c r="D12" i="30"/>
  <c r="C133" i="29"/>
  <c r="D107" i="29"/>
  <c r="D115" i="29" s="1"/>
  <c r="D53" i="29"/>
  <c r="D61" i="29" s="1"/>
  <c r="C41" i="29"/>
  <c r="D12" i="29"/>
  <c r="C133" i="28"/>
  <c r="D107" i="28"/>
  <c r="D115" i="28" s="1"/>
  <c r="D53" i="28"/>
  <c r="D61" i="28" s="1"/>
  <c r="C41" i="28"/>
  <c r="D12" i="28"/>
  <c r="F22" i="27"/>
  <c r="F21" i="27"/>
  <c r="F20" i="27"/>
  <c r="F27" i="27"/>
  <c r="F26" i="26"/>
  <c r="F25" i="26"/>
  <c r="F24" i="26"/>
  <c r="F27" i="26"/>
  <c r="F30" i="27"/>
  <c r="F29" i="27"/>
  <c r="F17" i="27"/>
  <c r="F10" i="24"/>
  <c r="F40" i="26"/>
  <c r="F41" i="26"/>
  <c r="F42" i="26"/>
  <c r="F43" i="26"/>
  <c r="F44" i="26"/>
  <c r="F45" i="26"/>
  <c r="F46" i="26"/>
  <c r="F47" i="26"/>
  <c r="F48" i="26"/>
  <c r="F37" i="26"/>
  <c r="F28" i="27"/>
  <c r="F26" i="27"/>
  <c r="F25" i="27"/>
  <c r="F14" i="24"/>
  <c r="F13" i="24"/>
  <c r="F12" i="24"/>
  <c r="F11" i="24"/>
  <c r="F18" i="26"/>
  <c r="F17" i="26"/>
  <c r="F16" i="26"/>
  <c r="F15" i="26"/>
  <c r="F14" i="26"/>
  <c r="F31" i="26"/>
  <c r="F32" i="26"/>
  <c r="F33" i="26"/>
  <c r="F34" i="26"/>
  <c r="F35" i="26"/>
  <c r="F36" i="26"/>
  <c r="F38" i="26"/>
  <c r="F39" i="26"/>
  <c r="F49" i="26"/>
  <c r="F50" i="26"/>
  <c r="F51" i="26"/>
  <c r="F52" i="26"/>
  <c r="F9" i="26"/>
  <c r="F53" i="26"/>
  <c r="F24" i="27"/>
  <c r="F23" i="27"/>
  <c r="F19" i="27"/>
  <c r="F18" i="27"/>
  <c r="F16" i="27"/>
  <c r="F15" i="27"/>
  <c r="F14" i="27"/>
  <c r="F13" i="27"/>
  <c r="F12" i="27"/>
  <c r="F9" i="27"/>
  <c r="F8" i="27"/>
  <c r="F7" i="27"/>
  <c r="F6" i="27"/>
  <c r="F7" i="26"/>
  <c r="F8" i="26"/>
  <c r="F8" i="24"/>
  <c r="F9" i="24"/>
  <c r="F7" i="24"/>
  <c r="F6" i="26"/>
  <c r="F21" i="26"/>
  <c r="F11" i="26"/>
  <c r="F12" i="26"/>
  <c r="F13" i="26"/>
  <c r="F19" i="26"/>
  <c r="F20" i="26"/>
  <c r="F28" i="26"/>
  <c r="F10" i="26"/>
  <c r="F31" i="27" l="1"/>
  <c r="C15" i="16" s="1"/>
  <c r="F15" i="24"/>
  <c r="F16" i="24" s="1"/>
  <c r="D15" i="30"/>
  <c r="D14" i="30"/>
  <c r="D15" i="29"/>
  <c r="D14" i="29"/>
  <c r="D15" i="28"/>
  <c r="D14" i="28"/>
  <c r="F54" i="26"/>
  <c r="F55" i="26" s="1"/>
  <c r="J6" i="11"/>
  <c r="J8" i="11"/>
  <c r="C133" i="22"/>
  <c r="D107" i="22"/>
  <c r="D115" i="22" s="1"/>
  <c r="D53" i="22"/>
  <c r="D61" i="22" s="1"/>
  <c r="C41" i="22"/>
  <c r="D12" i="22"/>
  <c r="C133" i="19"/>
  <c r="D107" i="19"/>
  <c r="D115" i="19" s="1"/>
  <c r="D53" i="19"/>
  <c r="D61" i="19" s="1"/>
  <c r="C41" i="19"/>
  <c r="D12" i="19"/>
  <c r="C133" i="10"/>
  <c r="D107" i="10"/>
  <c r="D115" i="10" s="1"/>
  <c r="D53" i="10"/>
  <c r="D61" i="10" s="1"/>
  <c r="C41" i="10"/>
  <c r="D12" i="10"/>
  <c r="C21" i="16" l="1"/>
  <c r="J32" i="32"/>
  <c r="K32" i="32" s="1"/>
  <c r="D122" i="30"/>
  <c r="D122" i="28"/>
  <c r="D122" i="29"/>
  <c r="D125" i="29" s="1"/>
  <c r="D147" i="29" s="1"/>
  <c r="D17" i="30"/>
  <c r="D26" i="30" s="1"/>
  <c r="F11" i="11" s="1"/>
  <c r="D14" i="10"/>
  <c r="D15" i="10"/>
  <c r="D17" i="29"/>
  <c r="D71" i="29" s="1"/>
  <c r="D72" i="29" s="1"/>
  <c r="D17" i="28"/>
  <c r="D68" i="28" s="1"/>
  <c r="D15" i="19"/>
  <c r="D15" i="22"/>
  <c r="D14" i="22"/>
  <c r="D122" i="10"/>
  <c r="D122" i="22"/>
  <c r="D122" i="19"/>
  <c r="D14" i="19"/>
  <c r="D25" i="30" l="1"/>
  <c r="E11" i="11" s="1"/>
  <c r="D68" i="30"/>
  <c r="D69" i="30" s="1"/>
  <c r="D17" i="10"/>
  <c r="D25" i="10" s="1"/>
  <c r="E10" i="11" s="1"/>
  <c r="D98" i="30"/>
  <c r="D71" i="30"/>
  <c r="D72" i="30" s="1"/>
  <c r="D143" i="30"/>
  <c r="D96" i="30"/>
  <c r="D97" i="30" s="1"/>
  <c r="D125" i="28"/>
  <c r="D147" i="28" s="1"/>
  <c r="D125" i="30"/>
  <c r="D147" i="30" s="1"/>
  <c r="D26" i="29"/>
  <c r="F9" i="11" s="1"/>
  <c r="D96" i="29"/>
  <c r="D97" i="29" s="1"/>
  <c r="D143" i="28"/>
  <c r="D98" i="28"/>
  <c r="D96" i="28"/>
  <c r="D97" i="28" s="1"/>
  <c r="D25" i="28"/>
  <c r="E7" i="11" s="1"/>
  <c r="D26" i="28"/>
  <c r="F7" i="11" s="1"/>
  <c r="D71" i="28"/>
  <c r="D72" i="28" s="1"/>
  <c r="D125" i="22"/>
  <c r="D147" i="22" s="1"/>
  <c r="D17" i="22"/>
  <c r="D26" i="22" s="1"/>
  <c r="F6" i="11" s="1"/>
  <c r="D143" i="29"/>
  <c r="D68" i="29"/>
  <c r="D69" i="29" s="1"/>
  <c r="D98" i="29"/>
  <c r="D25" i="29"/>
  <c r="D17" i="19"/>
  <c r="D143" i="19" s="1"/>
  <c r="D69" i="28"/>
  <c r="D125" i="19"/>
  <c r="D147" i="19" s="1"/>
  <c r="D125" i="10"/>
  <c r="D147" i="10" s="1"/>
  <c r="D74" i="30" l="1"/>
  <c r="D75" i="30"/>
  <c r="D27" i="30"/>
  <c r="D59" i="30" s="1"/>
  <c r="D96" i="10"/>
  <c r="D97" i="10" s="1"/>
  <c r="D68" i="10"/>
  <c r="D69" i="10" s="1"/>
  <c r="D143" i="10"/>
  <c r="D26" i="10"/>
  <c r="F10" i="11" s="1"/>
  <c r="D71" i="10"/>
  <c r="D72" i="10" s="1"/>
  <c r="D98" i="10"/>
  <c r="D100" i="30"/>
  <c r="D89" i="30" s="1"/>
  <c r="D25" i="19"/>
  <c r="E8" i="11" s="1"/>
  <c r="D98" i="19"/>
  <c r="D96" i="19"/>
  <c r="D97" i="19" s="1"/>
  <c r="D74" i="29"/>
  <c r="D100" i="29"/>
  <c r="D89" i="29" s="1"/>
  <c r="D71" i="19"/>
  <c r="D72" i="19" s="1"/>
  <c r="D26" i="19"/>
  <c r="F8" i="11" s="1"/>
  <c r="D68" i="19"/>
  <c r="D69" i="19" s="1"/>
  <c r="D100" i="28"/>
  <c r="G7" i="11" s="1"/>
  <c r="D143" i="22"/>
  <c r="D25" i="22"/>
  <c r="D75" i="22" s="1"/>
  <c r="D98" i="22"/>
  <c r="D68" i="22"/>
  <c r="D69" i="22" s="1"/>
  <c r="D96" i="22"/>
  <c r="D97" i="22" s="1"/>
  <c r="D71" i="22"/>
  <c r="D72" i="22" s="1"/>
  <c r="D74" i="28"/>
  <c r="D75" i="28"/>
  <c r="D27" i="28"/>
  <c r="D59" i="28" s="1"/>
  <c r="D27" i="29"/>
  <c r="E9" i="11"/>
  <c r="D75" i="29"/>
  <c r="D35" i="30" l="1"/>
  <c r="D37" i="30"/>
  <c r="D87" i="30"/>
  <c r="D73" i="30"/>
  <c r="D76" i="30" s="1"/>
  <c r="H11" i="11" s="1"/>
  <c r="D85" i="30"/>
  <c r="D86" i="30"/>
  <c r="D38" i="30"/>
  <c r="D90" i="30"/>
  <c r="D88" i="30"/>
  <c r="D34" i="30"/>
  <c r="D40" i="30"/>
  <c r="D33" i="30"/>
  <c r="D39" i="30"/>
  <c r="D36" i="30"/>
  <c r="D100" i="10"/>
  <c r="D114" i="10" s="1"/>
  <c r="D74" i="10"/>
  <c r="D75" i="10"/>
  <c r="D27" i="10"/>
  <c r="D39" i="10" s="1"/>
  <c r="G11" i="11"/>
  <c r="D114" i="30"/>
  <c r="D27" i="19"/>
  <c r="D100" i="19"/>
  <c r="D74" i="19"/>
  <c r="D75" i="19"/>
  <c r="E6" i="11"/>
  <c r="D73" i="29"/>
  <c r="D76" i="29" s="1"/>
  <c r="D145" i="29" s="1"/>
  <c r="D27" i="22"/>
  <c r="D36" i="22" s="1"/>
  <c r="D74" i="22"/>
  <c r="D73" i="22" s="1"/>
  <c r="D76" i="22" s="1"/>
  <c r="D114" i="29"/>
  <c r="G9" i="11"/>
  <c r="D85" i="29"/>
  <c r="D90" i="29"/>
  <c r="D87" i="29"/>
  <c r="D88" i="29"/>
  <c r="D86" i="29"/>
  <c r="D35" i="28"/>
  <c r="D89" i="28"/>
  <c r="D114" i="28"/>
  <c r="D85" i="28"/>
  <c r="D36" i="28"/>
  <c r="D40" i="28"/>
  <c r="D39" i="28"/>
  <c r="D86" i="28"/>
  <c r="D87" i="28"/>
  <c r="D88" i="28"/>
  <c r="D33" i="28"/>
  <c r="D34" i="28"/>
  <c r="D100" i="22"/>
  <c r="D37" i="28"/>
  <c r="D90" i="28"/>
  <c r="D38" i="28"/>
  <c r="D73" i="28"/>
  <c r="D76" i="28" s="1"/>
  <c r="H7" i="11" s="1"/>
  <c r="D59" i="29"/>
  <c r="D34" i="29"/>
  <c r="D33" i="29"/>
  <c r="D35" i="29"/>
  <c r="D38" i="29"/>
  <c r="D36" i="29"/>
  <c r="D40" i="29"/>
  <c r="D39" i="29"/>
  <c r="D37" i="29"/>
  <c r="D34" i="19"/>
  <c r="D38" i="19"/>
  <c r="D91" i="30" l="1"/>
  <c r="K11" i="11" s="1"/>
  <c r="L11" i="11" s="1"/>
  <c r="M11" i="11" s="1"/>
  <c r="H11" i="16" s="1"/>
  <c r="D145" i="30"/>
  <c r="D41" i="30"/>
  <c r="D60" i="30" s="1"/>
  <c r="D62" i="30" s="1"/>
  <c r="D144" i="30" s="1"/>
  <c r="D86" i="10"/>
  <c r="D89" i="10"/>
  <c r="G10" i="11"/>
  <c r="D73" i="10"/>
  <c r="D76" i="10" s="1"/>
  <c r="H10" i="11" s="1"/>
  <c r="D40" i="10"/>
  <c r="D34" i="10"/>
  <c r="D36" i="10"/>
  <c r="D88" i="10"/>
  <c r="D90" i="10"/>
  <c r="D85" i="10"/>
  <c r="D35" i="10"/>
  <c r="D87" i="10"/>
  <c r="D59" i="10"/>
  <c r="D38" i="10"/>
  <c r="D37" i="10"/>
  <c r="D33" i="10"/>
  <c r="D90" i="19"/>
  <c r="D85" i="19"/>
  <c r="D33" i="19"/>
  <c r="D39" i="19"/>
  <c r="D36" i="19"/>
  <c r="D59" i="19"/>
  <c r="D87" i="19"/>
  <c r="D114" i="19"/>
  <c r="D73" i="19"/>
  <c r="D76" i="19" s="1"/>
  <c r="D145" i="19" s="1"/>
  <c r="D88" i="19"/>
  <c r="D86" i="19"/>
  <c r="D35" i="19"/>
  <c r="G8" i="11"/>
  <c r="D37" i="19"/>
  <c r="D40" i="19"/>
  <c r="D89" i="19"/>
  <c r="D35" i="22"/>
  <c r="D85" i="22"/>
  <c r="D59" i="22"/>
  <c r="D40" i="22"/>
  <c r="D39" i="22"/>
  <c r="D38" i="22"/>
  <c r="D33" i="22"/>
  <c r="D34" i="22"/>
  <c r="D37" i="22"/>
  <c r="H9" i="11"/>
  <c r="D91" i="29"/>
  <c r="K9" i="11" s="1"/>
  <c r="D41" i="29"/>
  <c r="D60" i="29" s="1"/>
  <c r="D62" i="29" s="1"/>
  <c r="D144" i="29" s="1"/>
  <c r="D145" i="28"/>
  <c r="D91" i="28"/>
  <c r="D41" i="28"/>
  <c r="D60" i="28" s="1"/>
  <c r="D62" i="28" s="1"/>
  <c r="D144" i="28" s="1"/>
  <c r="D90" i="22"/>
  <c r="D114" i="22"/>
  <c r="D86" i="22"/>
  <c r="D88" i="22"/>
  <c r="D89" i="22"/>
  <c r="D87" i="22"/>
  <c r="G6" i="11"/>
  <c r="D145" i="22"/>
  <c r="H6" i="11"/>
  <c r="D145" i="10" l="1"/>
  <c r="H8" i="11"/>
  <c r="I11" i="11"/>
  <c r="D113" i="30"/>
  <c r="D116" i="30" s="1"/>
  <c r="D146" i="30" s="1"/>
  <c r="D148" i="30" s="1"/>
  <c r="D91" i="10"/>
  <c r="K10" i="11" s="1"/>
  <c r="D41" i="10"/>
  <c r="D60" i="10" s="1"/>
  <c r="D62" i="10" s="1"/>
  <c r="D144" i="10" s="1"/>
  <c r="D41" i="19"/>
  <c r="D60" i="19" s="1"/>
  <c r="D62" i="19" s="1"/>
  <c r="D144" i="19" s="1"/>
  <c r="D91" i="19"/>
  <c r="K8" i="11" s="1"/>
  <c r="L8" i="11" s="1"/>
  <c r="M8" i="11" s="1"/>
  <c r="H8" i="16" s="1"/>
  <c r="K7" i="11"/>
  <c r="L7" i="11" s="1"/>
  <c r="M7" i="11" s="1"/>
  <c r="H7" i="16" s="1"/>
  <c r="D41" i="22"/>
  <c r="D60" i="22" s="1"/>
  <c r="D62" i="22" s="1"/>
  <c r="D144" i="22" s="1"/>
  <c r="D113" i="29"/>
  <c r="D116" i="29" s="1"/>
  <c r="D146" i="29" s="1"/>
  <c r="D148" i="29" s="1"/>
  <c r="D113" i="28"/>
  <c r="D116" i="28" s="1"/>
  <c r="D146" i="28" s="1"/>
  <c r="D148" i="28" s="1"/>
  <c r="D91" i="22"/>
  <c r="I9" i="11"/>
  <c r="L9" i="11"/>
  <c r="M9" i="11" s="1"/>
  <c r="H9" i="16" s="1"/>
  <c r="D131" i="30" l="1"/>
  <c r="D113" i="10"/>
  <c r="D116" i="10" s="1"/>
  <c r="D131" i="10" s="1"/>
  <c r="I8" i="11"/>
  <c r="D113" i="19"/>
  <c r="D116" i="19" s="1"/>
  <c r="D146" i="19" s="1"/>
  <c r="D148" i="19" s="1"/>
  <c r="I7" i="11"/>
  <c r="D113" i="22"/>
  <c r="D116" i="22" s="1"/>
  <c r="D146" i="22" s="1"/>
  <c r="D148" i="22" s="1"/>
  <c r="K6" i="11"/>
  <c r="L6" i="11" s="1"/>
  <c r="M6" i="11" s="1"/>
  <c r="D131" i="29"/>
  <c r="D131" i="28"/>
  <c r="L10" i="11"/>
  <c r="M10" i="11" s="1"/>
  <c r="H10" i="16" s="1"/>
  <c r="I10" i="11"/>
  <c r="D132" i="10" l="1"/>
  <c r="D133" i="10" s="1"/>
  <c r="D135" i="10" s="1"/>
  <c r="D132" i="28"/>
  <c r="D133" i="28" s="1"/>
  <c r="D132" i="29"/>
  <c r="D133" i="29" s="1"/>
  <c r="D135" i="29" s="1"/>
  <c r="D132" i="30"/>
  <c r="D133" i="30" s="1"/>
  <c r="D146" i="10"/>
  <c r="D148" i="10" s="1"/>
  <c r="D131" i="19"/>
  <c r="D131" i="22"/>
  <c r="I6" i="11"/>
  <c r="H6" i="16"/>
  <c r="H12" i="16" s="1"/>
  <c r="M12" i="11"/>
  <c r="D136" i="10" l="1"/>
  <c r="D134" i="10"/>
  <c r="D136" i="30"/>
  <c r="D135" i="30"/>
  <c r="D132" i="22"/>
  <c r="D133" i="22" s="1"/>
  <c r="D134" i="22" s="1"/>
  <c r="D136" i="29"/>
  <c r="D134" i="30"/>
  <c r="D132" i="19"/>
  <c r="D133" i="19" s="1"/>
  <c r="D134" i="28"/>
  <c r="D135" i="28"/>
  <c r="D134" i="29"/>
  <c r="D136" i="28"/>
  <c r="D137" i="10" l="1"/>
  <c r="D149" i="10" s="1"/>
  <c r="D150" i="10" s="1"/>
  <c r="D137" i="29"/>
  <c r="D149" i="29" s="1"/>
  <c r="D150" i="29" s="1"/>
  <c r="D136" i="22"/>
  <c r="D135" i="22"/>
  <c r="D137" i="30"/>
  <c r="D149" i="30" s="1"/>
  <c r="D150" i="30" s="1"/>
  <c r="D134" i="19"/>
  <c r="D135" i="19"/>
  <c r="D137" i="28"/>
  <c r="D149" i="28" s="1"/>
  <c r="D150" i="28" s="1"/>
  <c r="D136" i="19"/>
  <c r="C7" i="16" l="1"/>
  <c r="E7" i="16" s="1"/>
  <c r="G7" i="16" s="1"/>
  <c r="I7" i="16" s="1"/>
  <c r="F26" i="32"/>
  <c r="H26" i="32" s="1"/>
  <c r="J26" i="32" s="1"/>
  <c r="K26" i="32" s="1"/>
  <c r="C9" i="16"/>
  <c r="E9" i="16" s="1"/>
  <c r="G9" i="16" s="1"/>
  <c r="I9" i="16" s="1"/>
  <c r="F28" i="32"/>
  <c r="H28" i="32" s="1"/>
  <c r="J28" i="32" s="1"/>
  <c r="K28" i="32" s="1"/>
  <c r="C11" i="16"/>
  <c r="E11" i="16" s="1"/>
  <c r="G11" i="16" s="1"/>
  <c r="I11" i="16" s="1"/>
  <c r="F30" i="32"/>
  <c r="H30" i="32" s="1"/>
  <c r="J30" i="32" s="1"/>
  <c r="K30" i="32" s="1"/>
  <c r="C10" i="16"/>
  <c r="E10" i="16" s="1"/>
  <c r="G10" i="16" s="1"/>
  <c r="I10" i="16" s="1"/>
  <c r="F29" i="32"/>
  <c r="H29" i="32" s="1"/>
  <c r="J29" i="32" s="1"/>
  <c r="K29" i="32" s="1"/>
  <c r="D137" i="22"/>
  <c r="D149" i="22" s="1"/>
  <c r="D150" i="22" s="1"/>
  <c r="D137" i="19"/>
  <c r="D149" i="19" s="1"/>
  <c r="D150" i="19" s="1"/>
  <c r="C8" i="16" l="1"/>
  <c r="E8" i="16" s="1"/>
  <c r="G8" i="16" s="1"/>
  <c r="I8" i="16" s="1"/>
  <c r="F27" i="32"/>
  <c r="H27" i="32" s="1"/>
  <c r="J27" i="32" s="1"/>
  <c r="K27" i="32" s="1"/>
  <c r="C6" i="16"/>
  <c r="E6" i="16" s="1"/>
  <c r="G6" i="16" s="1"/>
  <c r="I6" i="16" s="1"/>
  <c r="F25" i="32"/>
  <c r="H25" i="32" s="1"/>
  <c r="J25" i="32" s="1"/>
  <c r="J31" i="32" s="1"/>
  <c r="I12" i="16" l="1"/>
  <c r="B26" i="16" s="1"/>
  <c r="D26" i="16" s="1"/>
  <c r="G12" i="16"/>
  <c r="B29" i="16" s="1"/>
  <c r="D29" i="16" s="1"/>
  <c r="D30" i="16" s="1"/>
  <c r="K25" i="32"/>
  <c r="K31" i="32" s="1"/>
  <c r="J35"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tc={AC577758-E909-4D59-8441-D57131AF00A3}</author>
    <author>tc={4F2F7C06-7209-435D-8883-1A42CAE41448}</author>
  </authors>
  <commentList>
    <comment ref="D47" authorId="0" shapeId="0" xr:uid="{AC577758-E909-4D59-8441-D57131AF00A3}">
      <text>
        <r>
          <rPr>
            <sz val="10"/>
            <rFont val="Arial"/>
            <family val="2"/>
          </rPr>
          <t>[Comentário encadeado]
Sua versão do Excel permite que você leia este comentário encadeado, no entanto, as edições serão removidas se o arquivo for aberto em uma versão mais recente do Excel. Saiba mais: https://go.microsoft.com/fwlink/?linkid=870924
Comentário:
    A fórmula da passagem foi elaborada com a condicionante SE a fim de evitar que este campo apresente valor negativo, distorcendo assim, a estimativa. Caso o desconto de 6% sobre o salário base supere o custo do vale transporte, este campo não apresentará valor algum. Apenas será apresentado valor nesse campo se o custo do vale transporte for maior que o desconto de 6% sobre o salário base.</t>
        </r>
      </text>
    </comment>
    <comment ref="C90" authorId="1" shapeId="0" xr:uid="{4F2F7C06-7209-435D-8883-1A42CAE41448}">
      <text>
        <r>
          <rPr>
            <sz val="10"/>
            <rFont val="Arial"/>
            <family val="2"/>
          </rPr>
          <t xml:space="preserve">[Comentário encadeado]
Sua versão do Excel permite que você leia este comentário encadeado, no entanto, as edições serão removidas se o arquivo for aberto em uma versão mais recente do Excel. Saiba mais: https://go.microsoft.com/fwlink/?linkid=870924
Comentário:
    Nenhuma empresa especificou quais seriam as outras ausências. </t>
        </r>
      </text>
    </comment>
  </commentList>
</comments>
</file>

<file path=xl/sharedStrings.xml><?xml version="1.0" encoding="utf-8"?>
<sst xmlns="http://schemas.openxmlformats.org/spreadsheetml/2006/main" count="1684" uniqueCount="407">
  <si>
    <t>ANEXO V - PLANILHA DE CUSTO E FORMAÇÃO DE PREÇOS</t>
  </si>
  <si>
    <t>Obs: OS VALORES DEVEM SER LANÇADOS NOS CAMPOS EM AMARELO (os demais serão preenchidos automaticamente)</t>
  </si>
  <si>
    <t>PLANILHA DE CUSTO E FORMAÇÃO DE PREÇOS</t>
  </si>
  <si>
    <t>CHEFE DE BRIGADA 12X36 DIURNO</t>
  </si>
  <si>
    <t>Módulo 1 - Composição da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</si>
  <si>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</si>
  <si>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</si>
  <si>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</si>
  <si>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</si>
  <si>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</si>
  <si>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</si>
  <si>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</si>
  <si>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</si>
  <si>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</si>
  <si>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</si>
  <si>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</si>
  <si>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</si>
  <si>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F</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</si>
  <si>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</si>
  <si>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</si>
  <si>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</si>
  <si>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</si>
  <si>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</si>
  <si>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</si>
  <si>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</si>
  <si>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</si>
  <si>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</si>
  <si>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</si>
  <si>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</si>
  <si>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</si>
  <si>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</si>
  <si>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</si>
  <si>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</si>
  <si>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</si>
  <si>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</si>
  <si>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</si>
  <si>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SEBRAE</t>
  </si>
  <si>
    <t>INCRA</t>
  </si>
  <si>
    <t>H</t>
  </si>
  <si>
    <t>FGTS</t>
  </si>
  <si>
    <t xml:space="preserve">Total </t>
  </si>
  <si>
    <t>Submódulo 2.3 - Benefícios Mensais e Diários.</t>
  </si>
  <si>
    <t>2.3</t>
  </si>
  <si>
    <t>Benefícios Mensais e Diários</t>
  </si>
  <si>
    <t>Transporte</t>
  </si>
  <si>
    <t>Auxílio-Refeição/Alimentação</t>
  </si>
  <si>
    <t>Quadro-Resumo do Módulo 2 - Encargos e Benefícios anuais, mensais e diários</t>
  </si>
  <si>
    <t>Encargos e Benefícios Anuais, Mensais e Diários</t>
  </si>
  <si>
    <t>Módulo 3 - Provisão para Rescisão</t>
  </si>
  <si>
    <t>Provisão para Rescisão</t>
  </si>
  <si>
    <t>Porcentagem</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</si>
  <si>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</si>
  <si>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</si>
  <si>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</si>
  <si>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</si>
  <si>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</si>
  <si>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</si>
  <si>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t>Contribuição Social</t>
  </si>
  <si>
    <t>Módulo 4 - Custo de Reposição do Profissional Ausente</t>
  </si>
  <si>
    <t>Submódulo 4.1 - Substituto nas Ausências Legais</t>
  </si>
  <si>
    <t>4.1</t>
  </si>
  <si>
    <t>Ausências Legais</t>
  </si>
  <si>
    <t>Dias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</si>
  <si>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</si>
  <si>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</si>
  <si>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</si>
  <si>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</si>
  <si>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</si>
  <si>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</si>
  <si>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4.1.1 - Afastamento Maternidade</t>
  </si>
  <si>
    <t>4.1.1</t>
  </si>
  <si>
    <t>Férias pagas ao Substituto pelos 120 dias de Reposição</t>
  </si>
  <si>
    <t>Incidência dos encargos do Submódulo 2.2 sobre as férias pagas ao substituto pelos 120 dias de reposição - Maternidade</t>
  </si>
  <si>
    <t>Incidência do submódulo 2.2 sobre a remuneração e o 13º salário proporcionais aos 120 dias de reposição - Maternidade</t>
  </si>
  <si>
    <t>Outros</t>
  </si>
  <si>
    <t>Total:</t>
  </si>
  <si>
    <t>Submódulo 4.2 -Substituto na Intrajornada</t>
  </si>
  <si>
    <t>4.2</t>
  </si>
  <si>
    <t>Intrajornada</t>
  </si>
  <si>
    <t>Substituto na cobertura de Intervalo para repouso ou alimentação</t>
  </si>
  <si>
    <t>Quadro-Resumo do Módulo 4 - Custo de Reposição do Profissional Ausente</t>
  </si>
  <si>
    <t>Custo de Reposição do Profissional Ausente</t>
  </si>
  <si>
    <t>Substituto nas Ausências Legais</t>
  </si>
  <si>
    <t>Afastamento maternidade (referência: 120 dias)</t>
  </si>
  <si>
    <t>Substituto na Intrajornada</t>
  </si>
  <si>
    <t>Módulo 5 - Insumos Diversos</t>
  </si>
  <si>
    <t>Insumos Diversos</t>
  </si>
  <si>
    <t>Uniformes</t>
  </si>
  <si>
    <t>Equipamentos</t>
  </si>
  <si>
    <t>Módulo 6 - Custos Indiretos, Tributos e Lucro</t>
  </si>
  <si>
    <t>Custos Indiretos, Tributos e Lucro</t>
  </si>
  <si>
    <t>Custos Indiretos</t>
  </si>
  <si>
    <t>Lucro</t>
  </si>
  <si>
    <t>Tributos</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</si>
  <si>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</si>
  <si>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</si>
  <si>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</si>
  <si>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</si>
  <si>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</si>
  <si>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</si>
  <si>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</si>
  <si>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Valor Total por Empregado - EQUIPE FIXA</t>
  </si>
  <si>
    <t>CHEFE DE BRIGADA DIURNO FOLGUISTA</t>
  </si>
  <si>
    <t>Valor Total por Empregado - FOLGUISTA</t>
  </si>
  <si>
    <t>BRIGADISTA PARTICULA 12X36 - DIURNO</t>
  </si>
  <si>
    <t>BRIGADISTA PARTICULA DIURNO FOLGUISTA</t>
  </si>
  <si>
    <t>BRIGADISTA PARTICULAR 12X36 - NOTURNO</t>
  </si>
  <si>
    <t>BRIGADISTA PARTICULAR NOTURNO FOLGUISTA</t>
  </si>
  <si>
    <t>RESERVA MENSAL PARA O PAGAMENTO DE OBRIGAÇÕES TRABALHISTAS - VALOR APURADO COM BASE NA PLANILHA DA CATEGORIA PROFISSIONAL - EQUIPE FIXA E FOLGUISTA</t>
  </si>
  <si>
    <t>CATEGORIA PROFISSIONAL</t>
  </si>
  <si>
    <t>(A) QUANTIDADE DE EMPREGADOS POR POSTO</t>
  </si>
  <si>
    <t>(B) QUANTIDADE DE POSTOS</t>
  </si>
  <si>
    <t>Obrigações Trabalhistas ( C )</t>
  </si>
  <si>
    <t>VALOR MENSAL A SER RESERVADO POR CATEGORIA (AxBxC)</t>
  </si>
  <si>
    <t>13º (décimo terceiro) salário</t>
  </si>
  <si>
    <t>Férias e 1/3 Constitucional</t>
  </si>
  <si>
    <t>Valor do Item A  do módulo 4..1.1 Afastamento Maternidade</t>
  </si>
  <si>
    <t>Total do Item 4.4 Provisão para Rescisão</t>
  </si>
  <si>
    <t>SubTotal do Item 4 Custo de Reposição do Profissional Ausente</t>
  </si>
  <si>
    <t>VALOR MENSAL DAS OBRIGAÇÕES TRABALHISTAS              (13° + FÉRIAS + MATERNIDADE + RESCISÃO + REPOSIÇÃO)</t>
  </si>
  <si>
    <t>Valor Referência para Reposição do Profissional Ausente (Valor Diário)</t>
  </si>
  <si>
    <t>Total de dias Ausentes (somatório da coluna n° de dias do 4.5)</t>
  </si>
  <si>
    <t>SubTotal do Item 4.5 Custo de Reposição do Profissional Ausente</t>
  </si>
  <si>
    <t xml:space="preserve">Chefe de Brigada 12x36 Diurno   Escala: 07h às 19h            </t>
  </si>
  <si>
    <t>02</t>
  </si>
  <si>
    <t>01</t>
  </si>
  <si>
    <r>
      <t xml:space="preserve">Chefe de Brigada Diurno </t>
    </r>
    <r>
      <rPr>
        <b/>
        <sz val="10"/>
        <rFont val="Arial"/>
        <family val="2"/>
      </rPr>
      <t>Folguista</t>
    </r>
    <r>
      <rPr>
        <sz val="10"/>
        <rFont val="Arial"/>
        <family val="2"/>
      </rPr>
      <t xml:space="preserve"> Escala: 07h às 19h            </t>
    </r>
  </si>
  <si>
    <t>Brigadista Particular 12X36 Diurno   Escala: 07h às 19h</t>
  </si>
  <si>
    <t>04</t>
  </si>
  <si>
    <r>
      <t xml:space="preserve">Brigadista Particular Diurno </t>
    </r>
    <r>
      <rPr>
        <b/>
        <sz val="10"/>
        <rFont val="Arial"/>
        <family val="2"/>
      </rPr>
      <t>Folguista</t>
    </r>
    <r>
      <rPr>
        <sz val="10"/>
        <rFont val="Arial"/>
        <family val="2"/>
      </rPr>
      <t xml:space="preserve"> Escala: 07h às 19h</t>
    </r>
  </si>
  <si>
    <t>Brigadista Particular 12X36 Noturno Escala: 19h às 07h</t>
  </si>
  <si>
    <r>
      <t xml:space="preserve">Brigadista Particular Noturno </t>
    </r>
    <r>
      <rPr>
        <b/>
        <sz val="10"/>
        <rFont val="Arial"/>
        <family val="2"/>
      </rPr>
      <t>Folguista</t>
    </r>
    <r>
      <rPr>
        <sz val="10"/>
        <rFont val="Arial"/>
        <family val="2"/>
      </rPr>
      <t xml:space="preserve"> Escala: 19h às 07h</t>
    </r>
  </si>
  <si>
    <r>
      <t xml:space="preserve">SOMATÓRIO DOS VALORES MENSAIS RESERVADOS POR CATEGORIA </t>
    </r>
    <r>
      <rPr>
        <b/>
        <sz val="10"/>
        <rFont val="Calibri"/>
        <family val="2"/>
      </rPr>
      <t>→</t>
    </r>
  </si>
  <si>
    <t>TREINAMENTO BRIGADA VOLUNTÁRIA - BV</t>
  </si>
  <si>
    <t>Unidade</t>
  </si>
  <si>
    <t>Quantidade de turmas estimadas para o período de 60 meses</t>
  </si>
  <si>
    <t>Quantidade de participantes estimados por para compor o treinamento de BV's</t>
  </si>
  <si>
    <t>Valor Unit por turma*</t>
  </si>
  <si>
    <t>BRASÍLIA</t>
  </si>
  <si>
    <t>10</t>
  </si>
  <si>
    <t>30</t>
  </si>
  <si>
    <t>VALOR TOTAL DOS TREINAMENTOS</t>
  </si>
  <si>
    <t>* No valor deverão ser considerados todos os custos operacionais conforme especificado no item 6 do Termo de Referência</t>
  </si>
  <si>
    <t>A) PREÇO MENSAL DOS SERVIÇOS</t>
  </si>
  <si>
    <t>QUADRO RESUMO DO VALOR MENSAL - EQUIPE FIXA</t>
  </si>
  <si>
    <t>VALORES MENSAIS SEM A RESERVA</t>
  </si>
  <si>
    <t>CATEGORIA PROFISSIONAL - EQUIPE FIXA</t>
  </si>
  <si>
    <t>(A) VALOR PROPOSTO POR EMPREGADO</t>
  </si>
  <si>
    <t>(B) QUANTIDADE DE EMPREGADOS POR POSTO</t>
  </si>
  <si>
    <t>VALOR PROPOSTO POR POSTO 
(C) = (A) X (B)</t>
  </si>
  <si>
    <t>(D) QUANTIDADE DE POSTOS</t>
  </si>
  <si>
    <t>VALOR MENSAL DO SERVIÇO (E) = (C) X (D)</t>
  </si>
  <si>
    <t>VALOR DA RESERVA MENSAL</t>
  </si>
  <si>
    <t xml:space="preserve">Chefe de Brigada 12x36 Diurno - Escala: 07h às 19h            </t>
  </si>
  <si>
    <t>Brigadista Particular 12X36 Diurno - Escala: 07h às 19h</t>
  </si>
  <si>
    <t>Brigadista Particular 12X36 Noturno - Escala:19h às 07h</t>
  </si>
  <si>
    <t xml:space="preserve">TOTAL MENSAL </t>
  </si>
  <si>
    <t>SUBTOTAL MENSAL</t>
  </si>
  <si>
    <t>B) MATERIAIS</t>
  </si>
  <si>
    <t>C) TREINAMENTOS DOS BV's</t>
  </si>
  <si>
    <t xml:space="preserve">VALOR MENSAL SEM A RESERVA </t>
  </si>
  <si>
    <t>PERÍODO</t>
  </si>
  <si>
    <t>(MESES)</t>
  </si>
  <si>
    <t>VALOR MENSAL COM A RESERVA</t>
  </si>
  <si>
    <t>VALOR GLOBAL SEM A RESERVA</t>
  </si>
  <si>
    <t>TOTAL GLOBAL DA PROPOSTA</t>
  </si>
  <si>
    <t xml:space="preserve">PLANILHA DE UNIFORMES </t>
  </si>
  <si>
    <t>BRIGADISTA PARTICULAR</t>
  </si>
  <si>
    <t>Itens</t>
  </si>
  <si>
    <r>
      <t>Descrição do Uniforme</t>
    </r>
    <r>
      <rPr>
        <sz val="8"/>
        <rFont val="Arial"/>
        <family val="2"/>
      </rPr>
      <t> </t>
    </r>
  </si>
  <si>
    <r>
      <t>Medida</t>
    </r>
    <r>
      <rPr>
        <sz val="8"/>
        <rFont val="Arial"/>
        <family val="2"/>
      </rPr>
      <t> </t>
    </r>
  </si>
  <si>
    <t>Quantidade  Anual</t>
  </si>
  <si>
    <t>Valor Unitário (R$)</t>
  </si>
  <si>
    <t>Valor Anual (R$)</t>
  </si>
  <si>
    <t>01 </t>
  </si>
  <si>
    <t>Casaco (gandola) - tecido “Rip-stop”, com padrão aprovado pelo CBMDF</t>
  </si>
  <si>
    <t>unidade</t>
  </si>
  <si>
    <t>Calça - tecido “Rip-stop”, com padrão aprovado pelo CBMDF</t>
  </si>
  <si>
    <t>03</t>
  </si>
  <si>
    <r>
      <t xml:space="preserve">Camiseta - tecido de malha fria estampado nas costas o nome </t>
    </r>
    <r>
      <rPr>
        <b/>
        <sz val="10"/>
        <color rgb="FF000000"/>
        <rFont val="Arial"/>
        <family val="2"/>
      </rPr>
      <t>"BRIGADISTA"</t>
    </r>
    <r>
      <rPr>
        <sz val="10"/>
        <color rgb="FF000000"/>
        <rFont val="Arial"/>
        <family val="2"/>
      </rPr>
      <t xml:space="preserve"> em  meia-lua, na frente no peito do lado esquerdo a logomarca da empresa e no lado direito o nome e a tipagem sanguínea, no braço direito a estampa do órgão.</t>
    </r>
  </si>
  <si>
    <t xml:space="preserve">Capa de chuva (impermeável) – Tamanhos: conforme usuários.  </t>
  </si>
  <si>
    <t>05</t>
  </si>
  <si>
    <t>Casaco tipo japona, em brim pesado, 100% algodão, com fechamento em ziper, 2 (dois) bolsos superiores e 2 (dois) inferiores. Modelo: punho com elástico, barra com elástico, frente fechada com zíper de encaixe e 2 (dois) bolsos em diagonal, com vivo do mesmo tecido, gola em pé,</t>
  </si>
  <si>
    <t>06</t>
  </si>
  <si>
    <t>Cinto confeccionado em nylon, com fivela e ponteira prata</t>
  </si>
  <si>
    <t>07</t>
  </si>
  <si>
    <t>Meião confeccionado em algodão e lycra (tipo tático)</t>
  </si>
  <si>
    <t>unidade (par)</t>
  </si>
  <si>
    <t>08</t>
  </si>
  <si>
    <t>Coturno/Cabedal em couro nobuk hidrofugado, espessura de 2mm, dublado com tecido sintético e colarinho de couro pelica; forração interna de acrílico automotivo, com isolamento térmico em EVA; reforço interno de material termoplástico leve e resistente, no bico e calcanhar, solado de borracha macio, vulcanizado ao cabedal, resistente à corrente elétrica; vedação resistente à água ou 100% impermeável; marca guatelá ou similar.</t>
  </si>
  <si>
    <t>TOTAL ANUAL</t>
  </si>
  <si>
    <t xml:space="preserve">VALOR MENSAL </t>
  </si>
  <si>
    <t>PLANILHA DE EQUIPAMENTOS</t>
  </si>
  <si>
    <t>LISTA DE EQUIPAMENTOS</t>
  </si>
  <si>
    <t>ITEM</t>
  </si>
  <si>
    <t>DESCRIÇÃO</t>
  </si>
  <si>
    <t>MEDIDA</t>
  </si>
  <si>
    <t>QUANTIDADE</t>
  </si>
  <si>
    <t>CUSTO DE DISPONIBILIDADE*</t>
  </si>
  <si>
    <t>VALOR TOTAL</t>
  </si>
  <si>
    <t>Luva em vaqueta – tamanhos conforme usuários (par)</t>
  </si>
  <si>
    <t>Óculos de proteção individual, lente Incolor; Óculos em peça única de policarbonato óptico virgem com tratamento anti-riscos; resistente a impactos e choques físicos; Visor curvo para proteção lateral; Arco superior e hastes com revestimento de borracha macia para maior conforto; Hastes reguláveis em comprimento e em ângulo, ideal para proporcionar o melhor ajuste à face do usuário e com ante embaçante</t>
  </si>
  <si>
    <t>13</t>
  </si>
  <si>
    <t>Máscara  semi-facial,  com  02  filtros mecânicos, tamanho único, confeccionado em elastômero na cor laranja, com borda interna; Nas laterais do corpo da peça, estão localizadas duas aberturas, uma de cada lado, nas quais são encaixados 02 (dois) dispositivos plásticos na cor preta, dotados de 01 (uma) válvula de inalação em sua parte traseira e de um sistema de encaixe tipo baioneta em sua parte dianteira, onde são fixados os filtros químicos ou a base de fixação para utilização dos filtros  mecânicos. Ref.:  Lumatox  720; 1) Filtro químico classe 1 – contra vapores orgânicos contra gases ácidos contra vapores orgânicos e gases ácidos contra formaldeído contra  amônia e  matilaminas; 2) Filtros mecânicos P1 e P2 – filtros classe P1, contra poeiras e névoas, filtros classe P2 contra  poeiras, névoas e fumos.</t>
  </si>
  <si>
    <t>Maleta de primeiros socorros em PVC, na cor branca em tamanho apropriado, para acondicionamento dos materiais de pequeno porte para pronto atendimento em qualquer local</t>
  </si>
  <si>
    <t>Megafone com bateria recarregável – Alcance 700 metros – Potência Mínima 30 W</t>
  </si>
  <si>
    <t>Lanterna Recarregável, foco largo, à prova d´água IPX4 (Mínimo) – Alcance 500 m.</t>
  </si>
  <si>
    <t>Prancha de resgate com tirantes: Espessura 4 cm.; Largura 45 cm.; Comprimento 185 cm (mínimo); Capacidade de Carga: 200 kg; Material de Fabricação: Compensado Naval ou Polietileno. Acompanha 03 cintos de segurança em fita de polipropileno com 1,40 m. comprimento e 5 cm largura com engate rápido.</t>
  </si>
  <si>
    <t>Cortador de anel Confeccionado em aço polido inoxidável, para remoção de anéis, alianças ou outros ornamentos para os dedos com alavanca de segurança, com lamina de corte giratória</t>
  </si>
  <si>
    <t>09</t>
  </si>
  <si>
    <t>Tesoura Aço Inox, ponta redonda, pequena;</t>
  </si>
  <si>
    <t>Pinça, ponta reta 16 cm – autotravável</t>
  </si>
  <si>
    <t>11</t>
  </si>
  <si>
    <t>Pinça, ponta curva 16 cm – autotravável</t>
  </si>
  <si>
    <t>12</t>
  </si>
  <si>
    <t xml:space="preserve">Ressuscitador Manual completo (AMBÚ)  </t>
  </si>
  <si>
    <t>Estojo composto de: Estetoscópio, Termômetro (infravermelho sem contato) e Esfigmomanômetro, com bolsa de transporte</t>
  </si>
  <si>
    <t>14</t>
  </si>
  <si>
    <t>Cadeira de rodas feita em aço carbono e estofamento em Nylon, com capacidade de até 120Kg.</t>
  </si>
  <si>
    <t>15</t>
  </si>
  <si>
    <t>Estabilizador de cabeça para prancha de resgate</t>
  </si>
  <si>
    <t>16</t>
  </si>
  <si>
    <t>Tala moldável – tamanho: Grande (86 cm x 10 cm x 02 cm); padrão cores internacional</t>
  </si>
  <si>
    <t>17</t>
  </si>
  <si>
    <t>Tala moldável – tamanho: Médio (63 cm x 09 cm x 02 cm); padrão cores internacional</t>
  </si>
  <si>
    <t>18</t>
  </si>
  <si>
    <t>Tala moldável – tamanho: Pequeno (30 cm x 08 cm x 02 cm); padrão cores internacional</t>
  </si>
  <si>
    <t>19</t>
  </si>
  <si>
    <t>Medidor de Pressão Arterial de Braço - Digital</t>
  </si>
  <si>
    <t>20</t>
  </si>
  <si>
    <t>Pilhas Recarregáveis (compatíveis para medidor de pressão arterial)</t>
  </si>
  <si>
    <t>21</t>
  </si>
  <si>
    <t xml:space="preserve">Carregador de pilhas </t>
  </si>
  <si>
    <t>22</t>
  </si>
  <si>
    <t>Desfribilador Externo Automático</t>
  </si>
  <si>
    <t>23</t>
  </si>
  <si>
    <t>Colar Cervical Resgate, características: tamanho: P;  ideal para imobilização cervical em emergências, resgate etc;  confeccionado em material injetado (polietileno de alta densidade) e EVA com apoio mentoniano; possuir abertura de acesso à traqueia e pulsos carotídeos;  orifício posterior (nuca) possui duas aberturas para a palpação e ventilação da nuca; e esses equipamentos são essenciais para qualquer remoção e só devem ser utilizados por pessoal treinado para evitar TRM ( Traumatismo Raqui Medular).</t>
  </si>
  <si>
    <t>24</t>
  </si>
  <si>
    <t>Colar Cervical Resgate, características: tamanho: M;  ideal para imobilização cervical em emergências, resgate etc;  confeccionado em material injetado (polietileno de alta densidade) e EVA com apoio mentoniano; possuir abertura de acesso à traqueia e pulsos carotídeos;  orifício posterior (nuca) possui duas aberturas para a palpação e ventilação da nuca; e esses equipamentos são essenciais para qualquer remoção e só devem ser utilizados por pessoal treinado para evitar TRM ( Traumatismo Raqui Medular).</t>
  </si>
  <si>
    <t>25</t>
  </si>
  <si>
    <t>Colar Cervical Resgate, características: tamanho: G;  ideal para imobilização cervical em emergências, resgate etc;  confeccionado em material injetado (polietileno de alta densidade) e EVA com apoio mentoniano; possuir abertura de acesso à traqueia e pulsos carotídeos;  orifício posterior (nuca) possui duas aberturas para a palpação e ventilação da nuca; e esses equipamentos são essenciais para qualquer remoção e só devem ser utilizados por pessoal treinado para evitar TRM ( Traumatismo Raqui Medular).</t>
  </si>
  <si>
    <t>26</t>
  </si>
  <si>
    <t>Cabo Estático, corda, náilon, 12 mm, 03 camadas {capa externa + capa intermediária [indicadora de desgaste] + alma (cordoalhas trançadas)}, Certificada pelo IPT, conforme ABNT NR-18, carga de ruptura 22kN (2200 kg) – 50 metros;</t>
  </si>
  <si>
    <t>27</t>
  </si>
  <si>
    <t>Cabo Vida, corda, náilon, 12 mm, 03 camadas {capa externa + capa intermediária [indicadora de desgaste] + alma (cordoalhas trançadas)}, Certificada pelo IPT, conforme ABNT (NR-18), carga de ruptura 22kN (2200 kg) – 04 metros;</t>
  </si>
  <si>
    <t>28</t>
  </si>
  <si>
    <t>Freio tipo “8”, em aço ou duralumínio;</t>
  </si>
  <si>
    <t>29</t>
  </si>
  <si>
    <t>Mosquetão com trava tipo rosca, em aço ou duralumínio;</t>
  </si>
  <si>
    <t>Capacete de proteção para uso em Rapel, com jugular ajustável;</t>
  </si>
  <si>
    <t>31</t>
  </si>
  <si>
    <t>Lanterna de cabeça "recarregável" multifeixes, com alcance até 15 m p/trabalho manual e autonomia até 12 horas, alcance até 30 m p/trabalho progressão e autonomia até 6 horas e alcance até 75 m p/trabalho de longo alcance e autonomia até 3 horas. Funciona através de carregador de corrente.</t>
  </si>
  <si>
    <t>32</t>
  </si>
  <si>
    <t>Capa de aproximação completa (gandola e calça)</t>
  </si>
  <si>
    <t>33</t>
  </si>
  <si>
    <t>Cinto tipo abdominal (tipo cadeirinha) em poliéster de alta tenacidade com ponto único de segurança frontal.</t>
  </si>
  <si>
    <t>34</t>
  </si>
  <si>
    <t>Fita Anel ou Tubular, 26 mm;</t>
  </si>
  <si>
    <t>35</t>
  </si>
  <si>
    <t>Marreta, massa de 3,0 kg, cabo de Nogueira com 50 cm’</t>
  </si>
  <si>
    <t>36</t>
  </si>
  <si>
    <t>Machado de Bombeiro com cabo de Nogueira</t>
  </si>
  <si>
    <t>37</t>
  </si>
  <si>
    <t>Pé de Cabra, 50 cm</t>
  </si>
  <si>
    <t>38</t>
  </si>
  <si>
    <t>Alicate corta Vergalhão, braço isolado, capacidade de corte 10 mm, com lâminas substituíveis, peso aproximado 4 kg</t>
  </si>
  <si>
    <t>39</t>
  </si>
  <si>
    <t>Alicate Universal, 8 polegadas</t>
  </si>
  <si>
    <t>40</t>
  </si>
  <si>
    <t>Jogo de Chave Phillips</t>
  </si>
  <si>
    <t>41</t>
  </si>
  <si>
    <t>Jogo de Chave Fenda</t>
  </si>
  <si>
    <t>42</t>
  </si>
  <si>
    <t>Arco de Serra</t>
  </si>
  <si>
    <t>43</t>
  </si>
  <si>
    <t>Lâminas de Serra Manual</t>
  </si>
  <si>
    <t>44</t>
  </si>
  <si>
    <t>Cinto de Segurança Tipo Paraquedista – NR35 com talabarte</t>
  </si>
  <si>
    <t>45</t>
  </si>
  <si>
    <t>Rádios portáteis profissionais Motorola EP450s com frequência UHF</t>
  </si>
  <si>
    <t>46</t>
  </si>
  <si>
    <t>Carregadores de bateria de rádios portáteis</t>
  </si>
  <si>
    <t>47</t>
  </si>
  <si>
    <t>Baterias reservas</t>
  </si>
  <si>
    <t>48</t>
  </si>
  <si>
    <t>Registrador e controle de frequência digital, em conformidade com as determinações do Ministério do Trabalho.</t>
  </si>
  <si>
    <t>VALOR MENSAL</t>
  </si>
  <si>
    <t>* Será pago mensalmente o custo de disponibilização dos equipamentos ao longo do período do contrato, mediante os itens efetivamente entregues.</t>
  </si>
  <si>
    <t>PLANILHA DE MATERIAIS</t>
  </si>
  <si>
    <t>LISTA DE MATERIAIS (SOB DEMANDA)</t>
  </si>
  <si>
    <t>DESCRIÇÃO DOS MATERIAIS</t>
  </si>
  <si>
    <t>VALOR UNITÁRIO</t>
  </si>
  <si>
    <t>Atadura, tipo crepe, 10 cm, para imobilizações  (rolo)</t>
  </si>
  <si>
    <t>Atadura, tipo crepe, 15 cm, para imobilizações  (rolo)</t>
  </si>
  <si>
    <t>Atadura, tipo crepe, 20 cm, para imobilizações  (rolo)</t>
  </si>
  <si>
    <t>Esparadrapo, (10 cm x 4,5 m) (rolo)</t>
  </si>
  <si>
    <t>Gaze Esterilizada Hidrófila – 10 x 15 cm (pacote)</t>
  </si>
  <si>
    <t>Fita adesiva para curativo (crepe)</t>
  </si>
  <si>
    <t>Soro fisiológico, bisnagas de 250 ml</t>
  </si>
  <si>
    <t>Luva de Látex, para procedimentos tamanho "M"</t>
  </si>
  <si>
    <t>Caixa</t>
  </si>
  <si>
    <t xml:space="preserve">Luva de Látex, para procedimentos tamanho "G"  </t>
  </si>
  <si>
    <t xml:space="preserve">Máscara cirúrgica descartável – fixada por elástico nas orelhas  </t>
  </si>
  <si>
    <t>Álcool – 70% (frasco 1lt)</t>
  </si>
  <si>
    <t>Protetor Bloqueador Solar Fps 60 Bombona 4 Litros com bico dosador (marca de referência: Nutriex)</t>
  </si>
  <si>
    <t>Fita Zebra para isolamento (rolo)</t>
  </si>
  <si>
    <t>Aerossol de Salicilato de Metila + Cânfora + Mentol (substância ativa). É indicado para o tratamento exclusivamente tópico dos sintomas do reumatismo, nevralgias, torcicolos, contusões e dores musculares.</t>
  </si>
  <si>
    <t>Povidini Degermante (frasco de 1lt)</t>
  </si>
  <si>
    <t>Almotolia Plástica transparente curva com cânula de 250 ml</t>
  </si>
  <si>
    <t>Almotolia Plástica transparente  reta com cânula de 250 ml</t>
  </si>
  <si>
    <t>Bandagens triangulares (142 cm x 100 cm x 100 cm)</t>
  </si>
  <si>
    <t>Protetor de queimadura e eviscerações, utilizado no primeiro atendimento de vítimas de queimaduras ou eviscerações isolando de maneira eficaz os órgãos expostos evitando seu ressecamento e prevenindo infecções ou protegendo tecidos queimados do meio ambiente.</t>
  </si>
  <si>
    <t>Respirador semifacial descartável CLASSE PFF1, cor externa azul, modelo dobrável, com solda por ultrassom em todo seu perímetro, tamanho único, confeccionado com filtro de manta sintética, para uso contra aerodispersóides (partículas) gerados</t>
  </si>
  <si>
    <t>Protetor auditivo tipo haste, com espumas que vedam o canal auditivo dispensando inserção, haste única e flexível, mantém baixa pressão e se adapta a diferentes cabeças. Observação: Quantidade  conforme  número  de profissionais do contrato</t>
  </si>
  <si>
    <t>Curativo do tipo Band Aid ou similar (pacote com 40 unidades)</t>
  </si>
  <si>
    <t>Cobertor Térmico Aluminizado</t>
  </si>
  <si>
    <t>Jogo de pás para desfibrilador (adulto)</t>
  </si>
  <si>
    <t>Jogo de pás para desfibrilador (infantil)</t>
  </si>
  <si>
    <t>VALOR TOTAL*</t>
  </si>
  <si>
    <t>* Os materiais serão entregues sob demanda, ou seja, quando constatada a falta ou necessidade, mediante solicitação da DATAPREV e serão pagos conforme itens e quantidade efetivamente entregues.</t>
  </si>
  <si>
    <t>Auxílio Saúde - Plano Ambulatorial</t>
  </si>
  <si>
    <t>Assitência Odontológica</t>
  </si>
  <si>
    <t>Cláusula décima terceira CCT</t>
  </si>
  <si>
    <t>Cláusula décima quarta CCT</t>
  </si>
  <si>
    <t>Cláusula décima sétima CCT</t>
  </si>
  <si>
    <t>Auxílio Lazer/Cultura</t>
  </si>
  <si>
    <t>Assistência Odontológica</t>
  </si>
  <si>
    <t>Auxílio Saúde/Plano Ambulatorial</t>
  </si>
  <si>
    <t>Valor Unitário</t>
  </si>
  <si>
    <t>VALORES SEM A RESERVA MENSAL E COM A RESERVA MENSAL</t>
  </si>
  <si>
    <t>TOTAL COM A RESERVA</t>
  </si>
  <si>
    <t>TOTAL SEM A RESERVA</t>
  </si>
  <si>
    <t xml:space="preserve">Outros (Auxílio Funeral) </t>
  </si>
  <si>
    <t>D) EQUIPAMENTOS</t>
  </si>
  <si>
    <t xml:space="preserve">                 VIPPIM Segurança e Vigilância LTDA</t>
  </si>
  <si>
    <t>À</t>
  </si>
  <si>
    <t>DATAPREV</t>
  </si>
  <si>
    <t>Brasília - DF</t>
  </si>
  <si>
    <t>Ref. PROPOSTA DE PREÇOS</t>
  </si>
  <si>
    <t>Prezados Senhores,</t>
  </si>
  <si>
    <t>A. IDENTIFICAÇÃO</t>
  </si>
  <si>
    <t>RAZÃO SOCIAL: VIPPIM VIGILÂNCIA E SEGURANÇA LTDA</t>
  </si>
  <si>
    <t>ENDEREÇO COMPLETO:  RUA 05 LOTE 21 LOJA 01</t>
  </si>
  <si>
    <t>DADOS BANCÁRIOS: BANCO DO BRASIL S/A             AGÊNCIA: 3599-8             CONTA-CORRENTE: 222.658-8</t>
  </si>
  <si>
    <t>REPRESENTANTE LEGAL: (NOME, RG E CPF) Eurípedes Gonçalves - RG 623.703 - SSP-DF  - CPF 256.203.981-53</t>
  </si>
  <si>
    <t>TELEFONE: 61-3386-8878</t>
  </si>
  <si>
    <t>E-MAIL:  vippimezpcomercial@gmail.com</t>
  </si>
  <si>
    <t>B. ITENS DA PROPOSTA</t>
  </si>
  <si>
    <t>Grupo</t>
  </si>
  <si>
    <t>Tipo de Serviço (A)</t>
  </si>
  <si>
    <t>UNIDADE</t>
  </si>
  <si>
    <t>Valor Proposto por Empregado</t>
  </si>
  <si>
    <t>Qtde de empregados por posto</t>
  </si>
  <si>
    <t>Valor Proposto / Posto (D)</t>
  </si>
  <si>
    <t>Qtde de Postos (E)</t>
  </si>
  <si>
    <t>Valor Mensal (F)</t>
  </si>
  <si>
    <t>Valor Unitário/ Posto para 60 meses
(G)</t>
  </si>
  <si>
    <t>(B)</t>
  </si>
  <si>
    <t>(C)</t>
  </si>
  <si>
    <t>D = B X C</t>
  </si>
  <si>
    <t>(E)</t>
  </si>
  <si>
    <t>F = D x E</t>
  </si>
  <si>
    <t>posto</t>
  </si>
  <si>
    <t>EQUIPAMENTOS</t>
  </si>
  <si>
    <t>MATERIAIS</t>
  </si>
  <si>
    <t>VALOR GLOBAL</t>
  </si>
  <si>
    <t>DADOS DA EMPRESA</t>
  </si>
  <si>
    <r>
      <t xml:space="preserve">RAZÃO SOCIAL: </t>
    </r>
    <r>
      <rPr>
        <sz val="12"/>
        <rFont val="Arial Narrow"/>
        <family val="2"/>
      </rPr>
      <t>VIPPIM VIGILÂNCIA E SEGURANÇA LTDA</t>
    </r>
  </si>
  <si>
    <r>
      <t xml:space="preserve">CNPJ: </t>
    </r>
    <r>
      <rPr>
        <sz val="12"/>
        <rFont val="Arial Narrow"/>
        <family val="2"/>
      </rPr>
      <t>11.349.160/0001-67</t>
    </r>
  </si>
  <si>
    <r>
      <t xml:space="preserve">ENDEREÇO: </t>
    </r>
    <r>
      <rPr>
        <sz val="12"/>
        <rFont val="Arial Narrow"/>
        <family val="2"/>
      </rPr>
      <t>RUA 05 LOTE 23 Loja 02 - PÓLO DE MODAS - GUARÁ - DF -                 CEP: 71.070-505</t>
    </r>
  </si>
  <si>
    <r>
      <t xml:space="preserve">TELEFONE: </t>
    </r>
    <r>
      <rPr>
        <sz val="12"/>
        <rFont val="Arial Narrow"/>
        <family val="2"/>
      </rPr>
      <t>61-3386-8878</t>
    </r>
    <r>
      <rPr>
        <b/>
        <sz val="12"/>
        <rFont val="Arial Narrow"/>
        <family val="2"/>
      </rPr>
      <t xml:space="preserve"> - EMAIL: </t>
    </r>
    <r>
      <rPr>
        <sz val="12"/>
        <rFont val="Arial Narrow"/>
        <family val="2"/>
      </rPr>
      <t>vippimezpcomercial@gmail.com</t>
    </r>
  </si>
  <si>
    <t xml:space="preserve">DADOS BANCÁRIOS: </t>
  </si>
  <si>
    <r>
      <t xml:space="preserve">BANCO DO BRASIL S/A             AGÊNCIA: </t>
    </r>
    <r>
      <rPr>
        <sz val="12"/>
        <rFont val="Arial Narrow"/>
        <family val="2"/>
      </rPr>
      <t xml:space="preserve">3599-8 </t>
    </r>
    <r>
      <rPr>
        <b/>
        <sz val="12"/>
        <rFont val="Arial Narrow"/>
        <family val="2"/>
      </rPr>
      <t xml:space="preserve">            CONTA-CORRENTE: </t>
    </r>
    <r>
      <rPr>
        <sz val="12"/>
        <rFont val="Arial Narrow"/>
        <family val="2"/>
      </rPr>
      <t>222.658-8</t>
    </r>
  </si>
  <si>
    <t>DADOS DO REPRESENTANTE LEGAL PARA ASSINATURA DO CONTRATO:</t>
  </si>
  <si>
    <r>
      <t xml:space="preserve">NOME: </t>
    </r>
    <r>
      <rPr>
        <sz val="12"/>
        <rFont val="Arial Narrow"/>
        <family val="2"/>
      </rPr>
      <t>Eurípedes Gonçalves</t>
    </r>
  </si>
  <si>
    <r>
      <t xml:space="preserve">ENDEREÇO: </t>
    </r>
    <r>
      <rPr>
        <sz val="12"/>
        <rFont val="Arial Narrow"/>
        <family val="2"/>
      </rPr>
      <t>CH 53 LOTE 06 - TAGUATINGA</t>
    </r>
  </si>
  <si>
    <r>
      <t xml:space="preserve">CEP: </t>
    </r>
    <r>
      <rPr>
        <sz val="12"/>
        <rFont val="Arial Narrow"/>
        <family val="2"/>
      </rPr>
      <t>72.001-500</t>
    </r>
  </si>
  <si>
    <t>CIDADE/UF: TAGUATINGA- BRASÍLIA - DF</t>
  </si>
  <si>
    <r>
      <t xml:space="preserve">ESTADO CIVIL: </t>
    </r>
    <r>
      <rPr>
        <sz val="12"/>
        <rFont val="Arial Narrow"/>
        <family val="2"/>
      </rPr>
      <t>CASADO</t>
    </r>
  </si>
  <si>
    <t>CARGO/FUNÇÃO: SÓCIO</t>
  </si>
  <si>
    <r>
      <t xml:space="preserve">CPF: </t>
    </r>
    <r>
      <rPr>
        <sz val="12"/>
        <rFont val="Arial Narrow"/>
        <family val="2"/>
      </rPr>
      <t>256.203.981-53</t>
    </r>
  </si>
  <si>
    <t>RG: 623.703 - SSP-DF</t>
  </si>
  <si>
    <r>
      <t xml:space="preserve">NATURALIDADE: </t>
    </r>
    <r>
      <rPr>
        <sz val="12"/>
        <rFont val="Arial Narrow"/>
        <family val="2"/>
      </rPr>
      <t>BRASÍLIA</t>
    </r>
  </si>
  <si>
    <t>NACIONALIDADE: BRASILEIRO</t>
  </si>
  <si>
    <t>DADOS DA CCT UTILIZADA PARA FORMULAÇÃO DA PROPOSTA:</t>
  </si>
  <si>
    <r>
      <t xml:space="preserve">SINDICATO: </t>
    </r>
    <r>
      <rPr>
        <sz val="12"/>
        <rFont val="Arial Narrow"/>
        <family val="2"/>
      </rPr>
      <t>SINDICATO DOS TRABALHADORES BOMBEIROS PROFISSIONAIS DO DISTRITO FEDERAL - SINDBOMBEIROS</t>
    </r>
  </si>
  <si>
    <t>DECLARAÇÕES:</t>
  </si>
  <si>
    <t>I</t>
  </si>
  <si>
    <t xml:space="preserve">O valor da dedetização por aplicação foi estimado em </t>
  </si>
  <si>
    <t>TREINAMENTOS</t>
  </si>
  <si>
    <t>G = D x 60 meses</t>
  </si>
  <si>
    <t>Apresentamos a Vossa Senhoria nossa proposta para prestação de Serviço prestação de serviços de Brigada Particular, com fornecimento de materiais, equipamentos e mão de obra para execução das atividades de prevenção e combate a incêndio, controle de pânico, abandono de edificações, primeiros socorros, treinamento dos brigadistas voluntários, elaboração e implantação do Plano de Prevenção e Proteção Contra Incêndios (PPCI), para atender o Ed. Sede da DATAPREV em Brasília/DF pelo período de 60 (sessenta) meses conforme o art. 71 da Lei 13.303/2016</t>
  </si>
  <si>
    <t>PREGÃO ELETRÔNICO Nº 90161/2024</t>
  </si>
  <si>
    <t>Brasília - DF, 28 de maio de 2.024.</t>
  </si>
  <si>
    <t>Data:    28/05/2024           às  10:00  horas</t>
  </si>
  <si>
    <t>Nº Processo: PROCESSO Nº 44103.017457/2023-75</t>
  </si>
  <si>
    <t>Licitação Nº: Nº 90161/2024</t>
  </si>
  <si>
    <r>
      <t>1)</t>
    </r>
    <r>
      <rPr>
        <sz val="12"/>
        <rFont val="Arial Narrow"/>
        <family val="2"/>
      </rPr>
      <t xml:space="preserve"> No preço proposto já deverão estar computados todos os custos acessórios para seu normal adimplemento sejam eles impostos, encargos trabalhistas, previdenciários, fiscais, comerciais, taxas, seguros e quaisquer outros que incidam ou venham a incidir sobre o objeto licitado.</t>
    </r>
  </si>
  <si>
    <r>
      <t>2)</t>
    </r>
    <r>
      <rPr>
        <sz val="12"/>
        <rFont val="Arial Narrow"/>
        <family val="2"/>
      </rPr>
      <t xml:space="preserve"> Os serviços serão executados conforme estabelecido no Anexo I.</t>
    </r>
  </si>
  <si>
    <t>CNPJ: 11.349.160/0001-67</t>
  </si>
  <si>
    <r>
      <t>3)</t>
    </r>
    <r>
      <rPr>
        <sz val="12"/>
        <rFont val="Arial Narrow"/>
        <family val="2"/>
      </rPr>
      <t xml:space="preserve"> </t>
    </r>
    <r>
      <rPr>
        <b/>
        <sz val="12"/>
        <rFont val="Arial Narrow"/>
        <family val="2"/>
      </rPr>
      <t xml:space="preserve">Justificativa referente a quantidade de dias do substituto de Férias : </t>
    </r>
    <r>
      <rPr>
        <sz val="12"/>
        <rFont val="Arial Narrow"/>
        <family val="2"/>
      </rPr>
      <t xml:space="preserve">A planilha modelo anexa ao edital está prevendo o pagamento de 30 (trinta) dias para o substitudo de férias, porém por se tratar de postos na escala 12x36hs a quantidade correta a ser cotada é de 15 (quinze) dias para cada substituto, já que o posto é composto por dois brigadistas, sendo 15 dias de substituição para cada brigadista, perfazendo o total de 30 (trinta) dias de substituição para cada posto; </t>
    </r>
  </si>
  <si>
    <t>(Nove milhões, oitocentos e vinte e nove mil, quinhentos e sessenta e três reais)</t>
  </si>
  <si>
    <r>
      <t>4) Justificativa referente a cotação dos benefícios obrigatórios da CCT:</t>
    </r>
    <r>
      <rPr>
        <sz val="12"/>
        <rFont val="Arial Narrow"/>
        <family val="2"/>
      </rPr>
      <t xml:space="preserve"> Todos os benefícios obrigatórios previstos na CCT da Categoria foram cotados na planilha de custos e formação de preços da empresa, tais como o Plano de Saúde, a Assistência Odontológica e o Seguro de Vida, quaisquer outros benefícios não são de natureza obrigatória, razão pela qual não foram cotados.</t>
    </r>
  </si>
  <si>
    <r>
      <t>5)</t>
    </r>
    <r>
      <rPr>
        <sz val="12"/>
        <rFont val="Arial Narrow"/>
        <family val="2"/>
      </rPr>
      <t xml:space="preserve"> Declara que concorda com todos os termos do edital e seus anexos, inclusive declarações, como se qui estivesse transcritas.</t>
    </r>
  </si>
  <si>
    <r>
      <t xml:space="preserve">No. DO REGISTRO DO MTE: </t>
    </r>
    <r>
      <rPr>
        <sz val="12"/>
        <rFont val="Arial Narrow"/>
        <family val="2"/>
      </rPr>
      <t>DF000184/2024</t>
    </r>
  </si>
  <si>
    <r>
      <t xml:space="preserve">DATA: </t>
    </r>
    <r>
      <rPr>
        <sz val="11"/>
        <rFont val="Arial"/>
        <family val="2"/>
      </rPr>
      <t>08/04/2024</t>
    </r>
  </si>
  <si>
    <r>
      <t xml:space="preserve">VIGÊNCIA: </t>
    </r>
    <r>
      <rPr>
        <sz val="12"/>
        <rFont val="Arial Narrow"/>
        <family val="2"/>
      </rPr>
      <t>01/01/2024 À 31/12/2024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</si>
</sst>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R$&quot;\ #,##0.00;[Red]\-&quot;R$&quot;\ #,##0.00"/>
    <numFmt numFmtId="44" formatCode="_-&quot;R$&quot;\ * #,##0.00_-;\-&quot;R$&quot;\ * #,##0.00_-;_-&quot;R$&quot;\ * &quot;-&quot;??_-;_-@_-"/>
    <numFmt numFmtId="164" formatCode="_-&quot;R$&quot;* #,##0.00_-;\-&quot;R$&quot;* #,##0.00_-;_-&quot;R$&quot;* &quot;-&quot;??_-;_-@_-"/>
    <numFmt numFmtId="165" formatCode="_(* #,##0.00_);_(* \(#,##0.00\);_(* \-??_);_(@_)"/>
    <numFmt numFmtId="166" formatCode="&quot;R$ &quot;#,##0.00;[Red]&quot;R$ &quot;#,##0.00"/>
    <numFmt numFmtId="167" formatCode="_(* #,##0.0_);_(* \(#,##0.0\);_(* \-??_);_(@_)"/>
    <numFmt numFmtId="168" formatCode="_-[$R$-416]\ * #,##0.00_-;\-[$R$-416]\ * #,##0.00_-;_-[$R$-416]\ * &quot;-&quot;??_-;_-@_-"/>
    <numFmt numFmtId="169" formatCode="&quot;R$&quot;\ #,##0.00"/>
  </numFmts>
  <fonts count="51" x14ac:knownFonts="1">
    <font>
      <sz val="10"/>
      <name val="Arial"/>
      <family val="2"/>
    </font>
    <font>
      <sz val="11"/>
      <color theme="1"/>
      <name val="Calibri"/>
      <family val="2"/>
      <scheme val="minor"/>
    </font>
    <font>
      <sz val="10"/>
      <name val="Arial"/>
    </font>
    <font>
      <b/>
      <i/>
      <sz val="10"/>
      <name val="Arial"/>
      <family val="2"/>
    </font>
    <font>
      <b/>
      <sz val="12"/>
      <name val="Arial"/>
      <family val="2"/>
    </font>
    <font>
      <b/>
      <sz val="10"/>
      <name val="Arial"/>
      <family val="2"/>
    </font>
    <font>
      <sz val="10"/>
      <name val="Arial"/>
      <family val="2"/>
    </font>
    <font>
      <b/>
      <sz val="8"/>
      <name val="Arial"/>
      <family val="2"/>
    </font>
    <font>
      <b/>
      <sz val="10"/>
      <name val="Calibri"/>
      <family val="2"/>
    </font>
    <font>
      <b/>
      <sz val="9"/>
      <name val="Arial"/>
      <family val="2"/>
    </font>
    <font>
      <b/>
      <sz val="8"/>
      <color indexed="8"/>
      <name val="Arial"/>
      <family val="2"/>
    </font>
    <font>
      <b/>
      <sz val="11"/>
      <name val="Arial"/>
      <family val="2"/>
    </font>
    <font>
      <sz val="12"/>
      <color theme="1"/>
      <name val="Times New Roman"/>
      <family val="1"/>
    </font>
    <font>
      <sz val="8"/>
      <color theme="1"/>
      <name val="Arial"/>
      <family val="2"/>
    </font>
    <font>
      <sz val="10"/>
      <color theme="0"/>
      <name val="Arial"/>
      <family val="2"/>
    </font>
    <font>
      <sz val="12"/>
      <color theme="1"/>
      <name val="Arial"/>
      <family val="2"/>
    </font>
    <font>
      <b/>
      <sz val="12"/>
      <color theme="1"/>
      <name val="Arial"/>
      <family val="2"/>
    </font>
    <font>
      <sz val="12"/>
      <color theme="0"/>
      <name val="Arial"/>
      <family val="2"/>
    </font>
    <font>
      <sz val="8"/>
      <name val="Arial"/>
      <family val="2"/>
    </font>
    <font>
      <b/>
      <i/>
      <sz val="9"/>
      <name val="Arial"/>
      <family val="2"/>
    </font>
    <font>
      <sz val="10"/>
      <color rgb="FF000000"/>
      <name val="Arial"/>
      <family val="2"/>
    </font>
    <font>
      <sz val="11"/>
      <color rgb="FF000000"/>
      <name val="Arial Narrow"/>
      <family val="2"/>
      <charset val="1"/>
    </font>
    <font>
      <sz val="11"/>
      <name val="Arial Narrow"/>
      <family val="2"/>
      <charset val="1"/>
    </font>
    <font>
      <b/>
      <sz val="10"/>
      <color rgb="FF000000"/>
      <name val="Arial"/>
      <family val="2"/>
    </font>
    <font>
      <sz val="10"/>
      <color rgb="FF000000"/>
      <name val="Arial"/>
    </font>
    <font>
      <b/>
      <sz val="10"/>
      <color rgb="FF000000"/>
      <name val="Arial"/>
    </font>
    <font>
      <sz val="10"/>
      <color theme="1"/>
      <name val="Arial"/>
      <family val="2"/>
    </font>
    <font>
      <b/>
      <sz val="8"/>
      <color theme="1"/>
      <name val="Arial"/>
    </font>
    <font>
      <i/>
      <sz val="9"/>
      <color theme="1"/>
      <name val="Arial"/>
      <family val="2"/>
    </font>
    <font>
      <sz val="9"/>
      <color theme="1"/>
      <name val="Arial"/>
      <family val="2"/>
    </font>
    <font>
      <sz val="10"/>
      <color theme="1"/>
      <name val="Arial"/>
    </font>
    <font>
      <i/>
      <sz val="9"/>
      <name val="Arial"/>
      <family val="2"/>
    </font>
    <font>
      <i/>
      <sz val="9"/>
      <color rgb="FF000000"/>
      <name val="Arial"/>
    </font>
    <font>
      <sz val="9"/>
      <color rgb="FF000000"/>
      <name val="Times New Roman"/>
      <family val="1"/>
    </font>
    <font>
      <b/>
      <sz val="11"/>
      <color theme="1"/>
      <name val="Calibri"/>
      <family val="2"/>
      <scheme val="minor"/>
    </font>
    <font>
      <sz val="12"/>
      <name val="Arial"/>
      <family val="2"/>
    </font>
    <font>
      <b/>
      <sz val="12"/>
      <name val="Arial Narrow"/>
      <family val="2"/>
    </font>
    <font>
      <sz val="12"/>
      <name val="Arial Narrow"/>
      <family val="2"/>
    </font>
    <font>
      <sz val="26"/>
      <color rgb="FF002060"/>
      <name val="Aharoni"/>
      <charset val="177"/>
    </font>
    <font>
      <b/>
      <i/>
      <sz val="12"/>
      <name val="Arial Narrow"/>
      <family val="2"/>
    </font>
    <font>
      <i/>
      <sz val="12"/>
      <name val="Arial"/>
      <family val="2"/>
    </font>
    <font>
      <b/>
      <i/>
      <sz val="14"/>
      <name val="Arial Narrow"/>
      <family val="2"/>
    </font>
    <font>
      <b/>
      <i/>
      <sz val="10"/>
      <name val="Arial Narrow"/>
      <family val="2"/>
    </font>
    <font>
      <i/>
      <sz val="10"/>
      <name val="Arial"/>
      <family val="2"/>
    </font>
    <font>
      <u/>
      <sz val="10"/>
      <color indexed="12"/>
      <name val="Arial"/>
      <family val="2"/>
    </font>
    <font>
      <b/>
      <sz val="11"/>
      <color rgb="FF000000"/>
      <name val="Calibri"/>
      <family val="2"/>
      <scheme val="minor"/>
    </font>
    <font>
      <sz val="11"/>
      <name val="Calibri"/>
      <family val="2"/>
      <scheme val="minor"/>
    </font>
    <font>
      <sz val="11"/>
      <color rgb="FF000000"/>
      <name val="Calibri"/>
      <family val="2"/>
      <scheme val="minor"/>
    </font>
    <font>
      <b/>
      <sz val="11"/>
      <name val="Calibri"/>
      <family val="2"/>
      <scheme val="minor"/>
    </font>
    <font>
      <sz val="11"/>
      <name val="Arial"/>
      <family val="2"/>
    </font>
    <font>
      <b/>
      <i/>
      <sz val="11"/>
      <name val="Calibri"/>
      <family val="2"/>
      <scheme val="minor"/>
    </font>
  </fonts>
  <fills count="31">
    <fill>
      <patternFill patternType="none"/>
    </fill>
    <fill>
      <patternFill patternType="gray125"/>
    </fill>
    <fill>
      <patternFill patternType="solid">
        <fgColor indexed="13"/>
        <bgColor indexed="34"/>
      </patternFill>
    </fill>
    <fill>
      <patternFill patternType="solid">
        <fgColor indexed="9"/>
        <bgColor indexed="26"/>
      </patternFill>
    </fill>
    <fill>
      <patternFill patternType="solid">
        <fgColor indexed="42"/>
        <bgColor indexed="27"/>
      </patternFill>
    </fill>
    <fill>
      <patternFill patternType="solid">
        <fgColor indexed="22"/>
        <bgColor indexed="31"/>
      </patternFill>
    </fill>
    <fill>
      <patternFill patternType="solid">
        <fgColor indexed="44"/>
        <bgColor indexed="31"/>
      </patternFill>
    </fill>
    <fill>
      <patternFill patternType="solid">
        <fgColor rgb="FFFFFF00"/>
        <bgColor indexed="64"/>
      </patternFill>
    </fill>
    <fill>
      <patternFill patternType="solid">
        <fgColor theme="0"/>
        <bgColor indexed="64"/>
      </patternFill>
    </fill>
    <fill>
      <patternFill patternType="solid">
        <fgColor theme="0"/>
        <bgColor indexed="34"/>
      </patternFill>
    </fill>
    <fill>
      <patternFill patternType="solid">
        <fgColor theme="0"/>
        <bgColor indexed="27"/>
      </patternFill>
    </fill>
    <fill>
      <patternFill patternType="solid">
        <fgColor theme="8" tint="0.39997558519241921"/>
        <bgColor indexed="31"/>
      </patternFill>
    </fill>
    <fill>
      <patternFill patternType="solid">
        <fgColor theme="8" tint="0.39997558519241921"/>
        <bgColor indexed="3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27"/>
      </patternFill>
    </fill>
    <fill>
      <patternFill patternType="solid">
        <fgColor theme="4" tint="0.39997558519241921"/>
        <bgColor indexed="31"/>
      </patternFill>
    </fill>
    <fill>
      <patternFill patternType="solid">
        <fgColor theme="5" tint="0.39997558519241921"/>
        <bgColor indexed="64"/>
      </patternFill>
    </fill>
    <fill>
      <patternFill patternType="solid">
        <fgColor rgb="FFFFFF00"/>
        <bgColor rgb="FF000000"/>
      </patternFill>
    </fill>
    <fill>
      <patternFill patternType="solid">
        <fgColor rgb="FFFFFF00"/>
        <bgColor rgb="FFFFFF00"/>
      </patternFill>
    </fill>
    <fill>
      <patternFill patternType="solid">
        <fgColor rgb="FFD9D9D9"/>
        <bgColor rgb="FF000000"/>
      </patternFill>
    </fill>
    <fill>
      <patternFill patternType="solid">
        <fgColor theme="5" tint="0.79998168889431442"/>
        <bgColor indexed="64"/>
      </patternFill>
    </fill>
    <fill>
      <patternFill patternType="solid">
        <fgColor rgb="FFFFFFFF"/>
        <bgColor indexed="64"/>
      </patternFill>
    </fill>
    <fill>
      <patternFill patternType="solid">
        <fgColor rgb="FFFFFFFF"/>
        <bgColor rgb="FFF2F4F6"/>
      </patternFill>
    </fill>
    <fill>
      <patternFill patternType="solid">
        <fgColor rgb="FF99CCFF"/>
        <bgColor rgb="FFCCCCFF"/>
      </patternFill>
    </fill>
    <fill>
      <patternFill patternType="solid">
        <fgColor rgb="FFCCFFCC"/>
        <bgColor rgb="FFCCFFFF"/>
      </patternFill>
    </fill>
    <fill>
      <patternFill patternType="solid">
        <fgColor theme="2"/>
        <bgColor indexed="64"/>
      </patternFill>
    </fill>
    <fill>
      <patternFill patternType="solid">
        <fgColor rgb="FFB8CCE4"/>
        <bgColor rgb="FF000000"/>
      </patternFill>
    </fill>
    <fill>
      <patternFill patternType="solid">
        <fgColor theme="0"/>
        <bgColor rgb="FF000000"/>
      </patternFill>
    </fill>
    <fill>
      <patternFill patternType="solid">
        <fgColor rgb="FFFFC000"/>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8"/>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8"/>
      </right>
      <top/>
      <bottom style="medium">
        <color indexed="64"/>
      </bottom>
      <diagonal/>
    </border>
    <border>
      <left style="medium">
        <color indexed="8"/>
      </left>
      <right style="medium">
        <color indexed="8"/>
      </right>
      <top/>
      <bottom style="medium">
        <color indexed="64"/>
      </bottom>
      <diagonal/>
    </border>
    <border>
      <left style="medium">
        <color indexed="8"/>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8"/>
      </left>
      <right/>
      <top/>
      <bottom style="double">
        <color indexed="8"/>
      </bottom>
      <diagonal/>
    </border>
    <border>
      <left style="thin">
        <color indexed="8"/>
      </left>
      <right style="thin">
        <color indexed="8"/>
      </right>
      <top/>
      <bottom style="double">
        <color indexed="8"/>
      </bottom>
      <diagonal/>
    </border>
    <border>
      <left style="double">
        <color indexed="8"/>
      </left>
      <right/>
      <top/>
      <bottom/>
      <diagonal/>
    </border>
    <border>
      <left style="thin">
        <color indexed="8"/>
      </left>
      <right style="thin">
        <color indexed="8"/>
      </right>
      <top/>
      <bottom/>
      <diagonal/>
    </border>
    <border>
      <left style="medium">
        <color indexed="8"/>
      </left>
      <right style="medium">
        <color indexed="8"/>
      </right>
      <top/>
      <bottom style="medium">
        <color indexed="8"/>
      </bottom>
      <diagonal/>
    </border>
    <border>
      <left style="thin">
        <color indexed="64"/>
      </left>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right/>
      <top style="medium">
        <color indexed="8"/>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8"/>
      </right>
      <top style="medium">
        <color indexed="64"/>
      </top>
      <bottom style="thick">
        <color indexed="8"/>
      </bottom>
      <diagonal/>
    </border>
    <border>
      <left style="medium">
        <color indexed="64"/>
      </left>
      <right style="medium">
        <color indexed="8"/>
      </right>
      <top/>
      <bottom style="thick">
        <color indexed="8"/>
      </bottom>
      <diagonal/>
    </border>
    <border>
      <left style="medium">
        <color indexed="64"/>
      </left>
      <right style="medium">
        <color indexed="8"/>
      </right>
      <top/>
      <bottom style="medium">
        <color indexed="64"/>
      </bottom>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style="medium">
        <color indexed="8"/>
      </left>
      <right/>
      <top style="medium">
        <color indexed="64"/>
      </top>
      <bottom style="thick">
        <color indexed="8"/>
      </bottom>
      <diagonal/>
    </border>
    <border>
      <left style="medium">
        <color indexed="8"/>
      </left>
      <right/>
      <top style="thick">
        <color indexed="8"/>
      </top>
      <bottom style="thick">
        <color indexed="8"/>
      </bottom>
      <diagonal/>
    </border>
    <border>
      <left style="medium">
        <color indexed="8"/>
      </left>
      <right/>
      <top style="thick">
        <color indexed="8"/>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style="medium">
        <color indexed="8"/>
      </right>
      <top style="medium">
        <color indexed="8"/>
      </top>
      <bottom style="medium">
        <color indexed="8"/>
      </bottom>
      <diagonal/>
    </border>
    <border>
      <left style="double">
        <color indexed="64"/>
      </left>
      <right style="double">
        <color indexed="64"/>
      </right>
      <top style="thick">
        <color indexed="8"/>
      </top>
      <bottom style="double">
        <color indexed="64"/>
      </bottom>
      <diagonal/>
    </border>
    <border>
      <left style="double">
        <color indexed="8"/>
      </left>
      <right/>
      <top style="double">
        <color indexed="8"/>
      </top>
      <bottom style="double">
        <color indexed="8"/>
      </bottom>
      <diagonal/>
    </border>
    <border>
      <left style="double">
        <color indexed="8"/>
      </left>
      <right style="double">
        <color indexed="8"/>
      </right>
      <top style="double">
        <color indexed="8"/>
      </top>
      <bottom style="double">
        <color indexed="8"/>
      </bottom>
      <diagonal/>
    </border>
    <border>
      <left style="double">
        <color indexed="8"/>
      </left>
      <right style="thin">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right/>
      <top style="double">
        <color indexed="8"/>
      </top>
      <bottom/>
      <diagonal/>
    </border>
    <border>
      <left style="thin">
        <color indexed="8"/>
      </left>
      <right style="double">
        <color indexed="8"/>
      </right>
      <top style="double">
        <color indexed="8"/>
      </top>
      <bottom style="thin">
        <color indexed="8"/>
      </bottom>
      <diagonal/>
    </border>
    <border>
      <left style="thin">
        <color indexed="8"/>
      </left>
      <right style="double">
        <color indexed="8"/>
      </right>
      <top style="thin">
        <color indexed="8"/>
      </top>
      <bottom/>
      <diagonal/>
    </border>
    <border>
      <left style="double">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top/>
      <bottom style="thin">
        <color indexed="64"/>
      </bottom>
      <diagonal/>
    </border>
    <border>
      <left style="double">
        <color indexed="64"/>
      </left>
      <right style="double">
        <color indexed="64"/>
      </right>
      <top style="double">
        <color indexed="64"/>
      </top>
      <bottom style="medium">
        <color indexed="8"/>
      </bottom>
      <diagonal/>
    </border>
    <border>
      <left style="double">
        <color indexed="64"/>
      </left>
      <right style="double">
        <color indexed="64"/>
      </right>
      <top style="medium">
        <color indexed="8"/>
      </top>
      <bottom style="medium">
        <color indexed="8"/>
      </bottom>
      <diagonal/>
    </border>
    <border>
      <left style="double">
        <color indexed="64"/>
      </left>
      <right style="double">
        <color indexed="64"/>
      </right>
      <top style="medium">
        <color indexed="8"/>
      </top>
      <bottom/>
      <diagonal/>
    </border>
    <border>
      <left style="double">
        <color indexed="64"/>
      </left>
      <right style="double">
        <color indexed="64"/>
      </right>
      <top style="thin">
        <color indexed="64"/>
      </top>
      <bottom style="thin">
        <color indexed="64"/>
      </bottom>
      <diagonal/>
    </border>
    <border>
      <left/>
      <right style="double">
        <color indexed="64"/>
      </right>
      <top/>
      <bottom style="double">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double">
        <color indexed="8"/>
      </left>
      <right/>
      <top style="double">
        <color indexed="8"/>
      </top>
      <bottom style="thin">
        <color indexed="8"/>
      </bottom>
      <diagonal/>
    </border>
    <border>
      <left/>
      <right style="double">
        <color indexed="8"/>
      </right>
      <top style="double">
        <color indexed="8"/>
      </top>
      <bottom style="thin">
        <color indexed="8"/>
      </bottom>
      <diagonal/>
    </border>
    <border>
      <left style="double">
        <color indexed="8"/>
      </left>
      <right/>
      <top style="thin">
        <color indexed="8"/>
      </top>
      <bottom style="thin">
        <color indexed="8"/>
      </bottom>
      <diagonal/>
    </border>
    <border>
      <left/>
      <right style="double">
        <color indexed="8"/>
      </right>
      <top style="thin">
        <color indexed="8"/>
      </top>
      <bottom style="thin">
        <color indexed="8"/>
      </bottom>
      <diagonal/>
    </border>
    <border>
      <left style="thin">
        <color indexed="8"/>
      </left>
      <right style="thin">
        <color indexed="8"/>
      </right>
      <top style="thin">
        <color indexed="64"/>
      </top>
      <bottom style="double">
        <color indexed="64"/>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8"/>
      </left>
      <right/>
      <top/>
      <bottom/>
      <diagonal/>
    </border>
    <border>
      <left style="thin">
        <color rgb="FF000000"/>
      </left>
      <right style="thin">
        <color rgb="FF000000"/>
      </right>
      <top/>
      <bottom style="thin">
        <color rgb="FF000000"/>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right/>
      <top/>
      <bottom style="double">
        <color indexed="8"/>
      </bottom>
      <diagonal/>
    </border>
    <border>
      <left style="medium">
        <color rgb="FF000000"/>
      </left>
      <right style="thin">
        <color rgb="FF000000"/>
      </right>
      <top style="medium">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medium">
        <color indexed="64"/>
      </left>
      <right/>
      <top/>
      <bottom/>
      <diagonal/>
    </border>
    <border>
      <left style="medium">
        <color indexed="64"/>
      </left>
      <right/>
      <top/>
      <bottom style="medium">
        <color indexed="64"/>
      </bottom>
      <diagonal/>
    </border>
    <border>
      <left style="medium">
        <color rgb="FF000000"/>
      </left>
      <right style="medium">
        <color indexed="8"/>
      </right>
      <top/>
      <bottom style="thick">
        <color indexed="8"/>
      </bottom>
      <diagonal/>
    </border>
    <border>
      <left style="medium">
        <color rgb="FF000000"/>
      </left>
      <right style="medium">
        <color indexed="8"/>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64"/>
      </left>
      <right/>
      <top style="medium">
        <color indexed="64"/>
      </top>
      <bottom style="medium">
        <color rgb="FF000000"/>
      </bottom>
      <diagonal/>
    </border>
    <border>
      <left/>
      <right style="thin">
        <color indexed="64"/>
      </right>
      <top style="medium">
        <color indexed="64"/>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thin">
        <color indexed="64"/>
      </right>
      <top/>
      <bottom style="thin">
        <color indexed="64"/>
      </bottom>
      <diagonal/>
    </border>
    <border>
      <left/>
      <right/>
      <top style="thin">
        <color rgb="FF000000"/>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8">
    <xf numFmtId="0" fontId="0" fillId="0" borderId="0"/>
    <xf numFmtId="44" fontId="2" fillId="0" borderId="0" applyFill="0" applyBorder="0" applyAlignment="0" applyProtection="0"/>
    <xf numFmtId="44" fontId="6" fillId="0" borderId="0" applyFill="0" applyBorder="0" applyAlignment="0" applyProtection="0"/>
    <xf numFmtId="9" fontId="6" fillId="0" borderId="0" applyFill="0" applyBorder="0" applyAlignment="0" applyProtection="0"/>
    <xf numFmtId="165" fontId="6" fillId="0" borderId="0" applyFill="0" applyBorder="0" applyAlignment="0" applyProtection="0"/>
    <xf numFmtId="0" fontId="6" fillId="0" borderId="0"/>
    <xf numFmtId="0" fontId="44" fillId="0" borderId="0" applyNumberFormat="0" applyFill="0" applyBorder="0" applyAlignment="0" applyProtection="0">
      <alignment vertical="top"/>
      <protection locked="0"/>
    </xf>
    <xf numFmtId="0" fontId="1" fillId="0" borderId="0"/>
  </cellStyleXfs>
  <cellXfs count="409">
    <xf numFmtId="0" fontId="0" fillId="0" borderId="0" xfId="0"/>
    <xf numFmtId="44" fontId="6" fillId="0" borderId="1" xfId="2" applyBorder="1" applyAlignment="1" applyProtection="1">
      <alignment vertical="center"/>
    </xf>
    <xf numFmtId="167" fontId="6" fillId="0" borderId="1" xfId="4" applyNumberFormat="1" applyBorder="1" applyAlignment="1" applyProtection="1">
      <alignment vertical="center"/>
    </xf>
    <xf numFmtId="44" fontId="0" fillId="0" borderId="58" xfId="2" applyFont="1" applyBorder="1" applyAlignment="1" applyProtection="1">
      <alignment vertical="center"/>
    </xf>
    <xf numFmtId="167" fontId="0" fillId="0" borderId="58" xfId="4" applyNumberFormat="1" applyFont="1" applyBorder="1" applyAlignment="1" applyProtection="1">
      <alignment vertical="center"/>
    </xf>
    <xf numFmtId="44" fontId="6" fillId="27" borderId="2" xfId="2" applyFill="1" applyBorder="1" applyAlignment="1" applyProtection="1">
      <alignment horizontal="center" vertical="center"/>
    </xf>
    <xf numFmtId="44" fontId="0" fillId="0" borderId="11" xfId="2" applyFont="1" applyBorder="1" applyAlignment="1" applyProtection="1">
      <alignment vertical="center"/>
    </xf>
    <xf numFmtId="167" fontId="0" fillId="0" borderId="11" xfId="4" applyNumberFormat="1" applyFont="1" applyBorder="1" applyAlignment="1" applyProtection="1">
      <alignment vertical="center"/>
    </xf>
    <xf numFmtId="44" fontId="0" fillId="15" borderId="59" xfId="2" applyFont="1" applyFill="1" applyBorder="1" applyAlignment="1" applyProtection="1">
      <alignment vertical="center"/>
    </xf>
    <xf numFmtId="44" fontId="6" fillId="15" borderId="16" xfId="2" applyFill="1" applyBorder="1" applyAlignment="1" applyProtection="1">
      <alignment vertical="center"/>
    </xf>
    <xf numFmtId="44" fontId="6" fillId="8" borderId="4" xfId="1" applyFont="1" applyFill="1" applyBorder="1" applyAlignment="1" applyProtection="1">
      <alignment horizontal="center" vertical="center" wrapText="1"/>
    </xf>
    <xf numFmtId="44" fontId="0" fillId="0" borderId="4" xfId="1" applyFont="1" applyBorder="1" applyAlignment="1" applyProtection="1">
      <alignment horizontal="center" vertical="center" wrapText="1"/>
    </xf>
    <xf numFmtId="44" fontId="6" fillId="0" borderId="4" xfId="2" applyFill="1" applyBorder="1" applyAlignment="1" applyProtection="1">
      <alignment horizontal="center" vertical="center" wrapText="1"/>
    </xf>
    <xf numFmtId="44" fontId="0" fillId="0" borderId="4" xfId="2" applyFont="1" applyBorder="1" applyAlignment="1" applyProtection="1">
      <alignment horizontal="center" vertical="center" wrapText="1"/>
    </xf>
    <xf numFmtId="9" fontId="0" fillId="0" borderId="7" xfId="3" applyFont="1" applyBorder="1" applyProtection="1"/>
    <xf numFmtId="9" fontId="6" fillId="8" borderId="7" xfId="3" applyFill="1" applyBorder="1" applyProtection="1"/>
    <xf numFmtId="165" fontId="6" fillId="0" borderId="2" xfId="4" applyFill="1" applyBorder="1" applyProtection="1"/>
    <xf numFmtId="1" fontId="0" fillId="0" borderId="2" xfId="3" applyNumberFormat="1" applyFont="1" applyBorder="1" applyProtection="1"/>
    <xf numFmtId="165" fontId="6" fillId="8" borderId="2" xfId="4" applyFill="1" applyBorder="1" applyProtection="1"/>
    <xf numFmtId="44" fontId="2" fillId="8" borderId="4" xfId="1" applyFill="1" applyBorder="1" applyAlignment="1" applyProtection="1">
      <alignment horizontal="center" vertical="center" wrapText="1"/>
    </xf>
    <xf numFmtId="10" fontId="14" fillId="0" borderId="4" xfId="3" applyNumberFormat="1" applyFont="1" applyBorder="1" applyAlignment="1" applyProtection="1">
      <alignment horizontal="center" vertical="center" wrapText="1"/>
    </xf>
    <xf numFmtId="0" fontId="12" fillId="0" borderId="0" xfId="0" applyFont="1" applyProtection="1">
      <protection locked="0"/>
    </xf>
    <xf numFmtId="44" fontId="6" fillId="7" borderId="4" xfId="1" applyFont="1" applyFill="1" applyBorder="1" applyAlignment="1" applyProtection="1">
      <alignment horizontal="center" vertical="center" wrapText="1"/>
      <protection locked="0"/>
    </xf>
    <xf numFmtId="9" fontId="6" fillId="7" borderId="2" xfId="3" applyFill="1" applyBorder="1" applyProtection="1">
      <protection locked="0"/>
    </xf>
    <xf numFmtId="10" fontId="15" fillId="7" borderId="4" xfId="0" applyNumberFormat="1" applyFont="1" applyFill="1" applyBorder="1" applyAlignment="1" applyProtection="1">
      <alignment horizontal="center" vertical="center" wrapText="1"/>
      <protection locked="0"/>
    </xf>
    <xf numFmtId="44" fontId="26" fillId="7" borderId="2" xfId="0" applyNumberFormat="1" applyFont="1" applyFill="1" applyBorder="1" applyAlignment="1" applyProtection="1">
      <alignment vertical="center" wrapText="1"/>
      <protection locked="0"/>
    </xf>
    <xf numFmtId="44" fontId="26" fillId="7" borderId="2" xfId="0" applyNumberFormat="1" applyFont="1" applyFill="1" applyBorder="1" applyAlignment="1" applyProtection="1">
      <alignment horizontal="center" vertical="center" wrapText="1"/>
      <protection locked="0"/>
    </xf>
    <xf numFmtId="44" fontId="6" fillId="7" borderId="4" xfId="2" applyFill="1" applyBorder="1" applyAlignment="1" applyProtection="1">
      <alignment horizontal="center" vertical="center" wrapText="1"/>
      <protection locked="0"/>
    </xf>
    <xf numFmtId="10" fontId="15" fillId="7" borderId="2" xfId="0" applyNumberFormat="1" applyFont="1" applyFill="1" applyBorder="1" applyProtection="1">
      <protection locked="0"/>
    </xf>
    <xf numFmtId="10" fontId="6" fillId="7" borderId="2" xfId="3" applyNumberFormat="1" applyFill="1" applyBorder="1" applyProtection="1">
      <protection locked="0"/>
    </xf>
    <xf numFmtId="2" fontId="6" fillId="7" borderId="2" xfId="3" applyNumberFormat="1" applyFill="1" applyBorder="1" applyProtection="1">
      <protection locked="0"/>
    </xf>
    <xf numFmtId="10" fontId="6" fillId="7" borderId="4" xfId="3" applyNumberFormat="1" applyFill="1" applyBorder="1" applyAlignment="1" applyProtection="1">
      <alignment horizontal="center" vertical="center" wrapText="1"/>
      <protection locked="0"/>
    </xf>
    <xf numFmtId="0" fontId="12" fillId="0" borderId="0" xfId="0" applyFont="1" applyAlignment="1" applyProtection="1">
      <alignment horizontal="left" vertical="center"/>
      <protection locked="0"/>
    </xf>
    <xf numFmtId="44" fontId="6" fillId="8" borderId="1" xfId="1" applyFont="1" applyFill="1" applyBorder="1" applyAlignment="1" applyProtection="1">
      <alignment horizontal="center" vertical="center" wrapText="1"/>
    </xf>
    <xf numFmtId="44" fontId="26" fillId="7" borderId="25" xfId="0" applyNumberFormat="1" applyFont="1" applyFill="1" applyBorder="1" applyAlignment="1" applyProtection="1">
      <alignment horizontal="center" vertical="center" wrapText="1"/>
      <protection locked="0"/>
    </xf>
    <xf numFmtId="44" fontId="12" fillId="0" borderId="0" xfId="0" applyNumberFormat="1" applyFont="1" applyProtection="1">
      <protection locked="0"/>
    </xf>
    <xf numFmtId="0" fontId="33" fillId="0" borderId="0" xfId="0" applyFont="1" applyProtection="1">
      <protection locked="0"/>
    </xf>
    <xf numFmtId="44" fontId="6" fillId="0" borderId="1" xfId="2" applyFill="1" applyBorder="1" applyAlignment="1" applyProtection="1">
      <alignment horizontal="center" vertical="center" wrapText="1"/>
    </xf>
    <xf numFmtId="44" fontId="6" fillId="8" borderId="4" xfId="2" applyFill="1" applyBorder="1" applyAlignment="1" applyProtection="1">
      <alignment horizontal="center" vertical="center" wrapText="1"/>
    </xf>
    <xf numFmtId="0" fontId="15" fillId="7" borderId="2" xfId="0" applyFont="1" applyFill="1" applyBorder="1" applyProtection="1">
      <protection locked="0"/>
    </xf>
    <xf numFmtId="2" fontId="15" fillId="7" borderId="2" xfId="0" applyNumberFormat="1" applyFont="1" applyFill="1" applyBorder="1" applyProtection="1">
      <protection locked="0"/>
    </xf>
    <xf numFmtId="44" fontId="13" fillId="7" borderId="2" xfId="0" applyNumberFormat="1" applyFont="1" applyFill="1" applyBorder="1" applyAlignment="1" applyProtection="1">
      <alignment horizontal="center" vertical="center" wrapText="1"/>
      <protection locked="0"/>
    </xf>
    <xf numFmtId="0" fontId="0" fillId="0" borderId="0" xfId="0" applyProtection="1">
      <protection locked="0"/>
    </xf>
    <xf numFmtId="2" fontId="0" fillId="0" borderId="0" xfId="0" applyNumberFormat="1" applyProtection="1">
      <protection locked="0"/>
    </xf>
    <xf numFmtId="0" fontId="0" fillId="0" borderId="0" xfId="0" applyAlignment="1" applyProtection="1">
      <alignment horizontal="center"/>
      <protection locked="0"/>
    </xf>
    <xf numFmtId="0" fontId="0" fillId="0" borderId="103" xfId="0" applyBorder="1" applyAlignment="1">
      <alignment horizontal="center" vertical="center" wrapText="1"/>
    </xf>
    <xf numFmtId="0" fontId="31" fillId="0" borderId="0" xfId="0" applyFont="1"/>
    <xf numFmtId="0" fontId="7" fillId="10" borderId="12" xfId="0" applyFont="1" applyFill="1" applyBorder="1" applyAlignment="1">
      <alignment horizontal="center" vertical="center" wrapText="1"/>
    </xf>
    <xf numFmtId="0" fontId="7" fillId="10"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0" fillId="3" borderId="57" xfId="0" applyFill="1" applyBorder="1" applyAlignment="1">
      <alignment vertical="center" wrapText="1"/>
    </xf>
    <xf numFmtId="49" fontId="0" fillId="0" borderId="58" xfId="0" applyNumberFormat="1" applyBorder="1" applyAlignment="1">
      <alignment horizontal="center" vertical="center"/>
    </xf>
    <xf numFmtId="49" fontId="0" fillId="9" borderId="58" xfId="0" applyNumberFormat="1" applyFill="1" applyBorder="1" applyAlignment="1">
      <alignment horizontal="center" vertical="center"/>
    </xf>
    <xf numFmtId="0" fontId="0" fillId="3" borderId="118" xfId="0" applyFill="1" applyBorder="1" applyAlignment="1">
      <alignment vertical="center" wrapText="1"/>
    </xf>
    <xf numFmtId="49" fontId="0" fillId="0" borderId="11" xfId="0" applyNumberFormat="1" applyBorder="1" applyAlignment="1">
      <alignment horizontal="center" vertical="center"/>
    </xf>
    <xf numFmtId="49" fontId="0" fillId="9" borderId="11" xfId="0" applyNumberFormat="1" applyFill="1" applyBorder="1" applyAlignment="1">
      <alignment horizontal="center" vertical="center"/>
    </xf>
    <xf numFmtId="0" fontId="0" fillId="3" borderId="15" xfId="0" applyFill="1" applyBorder="1" applyAlignment="1">
      <alignment vertical="center" wrapText="1"/>
    </xf>
    <xf numFmtId="49" fontId="0" fillId="0" borderId="1" xfId="0" applyNumberFormat="1" applyBorder="1" applyAlignment="1">
      <alignment horizontal="center" vertical="center"/>
    </xf>
    <xf numFmtId="49" fontId="0" fillId="9" borderId="1" xfId="0" applyNumberFormat="1" applyFill="1" applyBorder="1" applyAlignment="1">
      <alignment horizontal="center" vertical="center"/>
    </xf>
    <xf numFmtId="0" fontId="0" fillId="0" borderId="15" xfId="0" applyBorder="1" applyAlignment="1">
      <alignment vertical="center" wrapText="1"/>
    </xf>
    <xf numFmtId="166" fontId="7" fillId="0" borderId="0" xfId="0" applyNumberFormat="1" applyFont="1" applyAlignment="1" applyProtection="1">
      <alignment horizontal="center"/>
      <protection locked="0"/>
    </xf>
    <xf numFmtId="44" fontId="2" fillId="25" borderId="83" xfId="1" applyFill="1" applyBorder="1" applyAlignment="1" applyProtection="1">
      <alignment horizontal="center" vertical="center"/>
    </xf>
    <xf numFmtId="0" fontId="18" fillId="0" borderId="0" xfId="0" applyFont="1" applyProtection="1">
      <protection locked="0"/>
    </xf>
    <xf numFmtId="44" fontId="2" fillId="19" borderId="1" xfId="1" applyFill="1" applyBorder="1" applyAlignment="1" applyProtection="1">
      <alignment horizontal="center" vertical="center"/>
      <protection locked="0"/>
    </xf>
    <xf numFmtId="44" fontId="0" fillId="7" borderId="72" xfId="1" applyFont="1" applyFill="1" applyBorder="1" applyAlignment="1" applyProtection="1">
      <alignment horizontal="left" vertical="center" wrapText="1"/>
      <protection locked="0"/>
    </xf>
    <xf numFmtId="0" fontId="18" fillId="0" borderId="0" xfId="0" applyFont="1" applyAlignment="1" applyProtection="1">
      <alignment vertical="center"/>
      <protection locked="0"/>
    </xf>
    <xf numFmtId="0" fontId="19" fillId="20" borderId="0" xfId="0" applyFont="1" applyFill="1"/>
    <xf numFmtId="0" fontId="3" fillId="20" borderId="0" xfId="0" applyFont="1" applyFill="1"/>
    <xf numFmtId="0" fontId="5" fillId="19" borderId="0" xfId="0" applyFont="1" applyFill="1" applyAlignment="1">
      <alignment vertical="center" wrapText="1"/>
    </xf>
    <xf numFmtId="0" fontId="18" fillId="0" borderId="0" xfId="0" applyFont="1"/>
    <xf numFmtId="0" fontId="7" fillId="21" borderId="90" xfId="0" applyFont="1" applyFill="1" applyBorder="1" applyAlignment="1">
      <alignment horizontal="center" vertical="center" wrapText="1"/>
    </xf>
    <xf numFmtId="0" fontId="20" fillId="0" borderId="1" xfId="0" applyFont="1" applyBorder="1" applyAlignment="1">
      <alignment horizontal="center" wrapText="1"/>
    </xf>
    <xf numFmtId="0" fontId="20" fillId="0" borderId="1" xfId="0" applyFont="1" applyBorder="1" applyAlignment="1">
      <alignment vertical="center" wrapText="1"/>
    </xf>
    <xf numFmtId="0" fontId="0" fillId="0" borderId="70" xfId="0" applyBorder="1" applyAlignment="1">
      <alignment horizontal="center" vertical="center" wrapText="1"/>
    </xf>
    <xf numFmtId="49" fontId="20" fillId="23" borderId="1" xfId="0" applyNumberFormat="1" applyFont="1" applyFill="1" applyBorder="1" applyAlignment="1">
      <alignment horizontal="center" vertical="center" wrapText="1"/>
    </xf>
    <xf numFmtId="44" fontId="2" fillId="0" borderId="1" xfId="1" applyBorder="1" applyAlignment="1" applyProtection="1">
      <alignment horizontal="center" vertical="center"/>
    </xf>
    <xf numFmtId="49" fontId="20" fillId="0" borderId="1" xfId="0" applyNumberFormat="1" applyFont="1" applyBorder="1" applyAlignment="1">
      <alignment horizontal="center" vertical="center" wrapText="1"/>
    </xf>
    <xf numFmtId="0" fontId="24" fillId="0" borderId="1" xfId="0" applyFont="1" applyBorder="1" applyAlignment="1">
      <alignment wrapText="1"/>
    </xf>
    <xf numFmtId="49" fontId="0" fillId="0" borderId="80" xfId="0" applyNumberFormat="1" applyBorder="1" applyAlignment="1">
      <alignment horizontal="center" vertical="center" wrapText="1"/>
    </xf>
    <xf numFmtId="49" fontId="22" fillId="24" borderId="1" xfId="0" applyNumberFormat="1" applyFont="1" applyFill="1" applyBorder="1" applyAlignment="1">
      <alignment horizontal="center" vertical="center" wrapText="1"/>
    </xf>
    <xf numFmtId="44" fontId="0" fillId="0" borderId="72" xfId="1" applyFont="1" applyBorder="1" applyAlignment="1" applyProtection="1">
      <alignment horizontal="left" vertical="center" wrapText="1"/>
    </xf>
    <xf numFmtId="49" fontId="21" fillId="24" borderId="1" xfId="0" applyNumberFormat="1" applyFont="1" applyFill="1" applyBorder="1" applyAlignment="1">
      <alignment horizontal="center" vertical="center" wrapText="1"/>
    </xf>
    <xf numFmtId="8" fontId="5" fillId="22" borderId="68" xfId="0" applyNumberFormat="1" applyFont="1" applyFill="1" applyBorder="1" applyAlignment="1">
      <alignment horizontal="center" vertical="center"/>
    </xf>
    <xf numFmtId="44" fontId="2" fillId="7" borderId="72" xfId="1" applyFill="1" applyBorder="1" applyAlignment="1" applyProtection="1">
      <alignment horizontal="left" vertical="center" wrapText="1"/>
      <protection locked="0"/>
    </xf>
    <xf numFmtId="44" fontId="2" fillId="7" borderId="90" xfId="1" applyFill="1" applyBorder="1" applyAlignment="1" applyProtection="1">
      <alignment horizontal="left" vertical="center" wrapText="1"/>
      <protection locked="0"/>
    </xf>
    <xf numFmtId="44" fontId="2" fillId="7" borderId="92" xfId="1" applyFill="1" applyBorder="1" applyAlignment="1" applyProtection="1">
      <alignment horizontal="left" vertical="center" wrapText="1"/>
      <protection locked="0"/>
    </xf>
    <xf numFmtId="44" fontId="30" fillId="7" borderId="72" xfId="1" applyFont="1" applyFill="1" applyBorder="1" applyAlignment="1" applyProtection="1">
      <alignment horizontal="left" vertical="center" wrapText="1"/>
      <protection locked="0"/>
    </xf>
    <xf numFmtId="0" fontId="26" fillId="0" borderId="0" xfId="0" applyFont="1" applyProtection="1">
      <protection locked="0"/>
    </xf>
    <xf numFmtId="44" fontId="2" fillId="7" borderId="1" xfId="1" applyFill="1" applyBorder="1" applyAlignment="1" applyProtection="1">
      <alignment horizontal="left" vertical="center" wrapText="1"/>
      <protection locked="0"/>
    </xf>
    <xf numFmtId="44" fontId="0" fillId="7" borderId="1" xfId="1" applyFont="1" applyFill="1" applyBorder="1" applyAlignment="1" applyProtection="1">
      <alignment horizontal="left" vertical="center" wrapText="1"/>
      <protection locked="0"/>
    </xf>
    <xf numFmtId="0" fontId="7" fillId="21" borderId="83" xfId="0" applyFont="1" applyFill="1" applyBorder="1" applyAlignment="1">
      <alignment horizontal="center" vertical="center" wrapText="1"/>
    </xf>
    <xf numFmtId="0" fontId="7" fillId="21" borderId="91" xfId="0" applyFont="1" applyFill="1" applyBorder="1" applyAlignment="1">
      <alignment horizontal="center" vertical="center" wrapText="1"/>
    </xf>
    <xf numFmtId="0" fontId="27" fillId="21" borderId="83" xfId="0" applyFont="1" applyFill="1" applyBorder="1" applyAlignment="1">
      <alignment horizontal="center" vertical="center" wrapText="1"/>
    </xf>
    <xf numFmtId="49" fontId="21" fillId="24" borderId="74" xfId="0" applyNumberFormat="1" applyFont="1" applyFill="1" applyBorder="1" applyAlignment="1">
      <alignment horizontal="center" vertical="center" wrapText="1"/>
    </xf>
    <xf numFmtId="0" fontId="0" fillId="0" borderId="81" xfId="0" applyBorder="1" applyAlignment="1">
      <alignment horizontal="center" vertical="center" wrapText="1"/>
    </xf>
    <xf numFmtId="49" fontId="0" fillId="0" borderId="72" xfId="0" applyNumberFormat="1" applyBorder="1" applyAlignment="1">
      <alignment horizontal="center" vertical="center" wrapText="1"/>
    </xf>
    <xf numFmtId="44" fontId="2" fillId="0" borderId="72" xfId="1" applyBorder="1" applyAlignment="1" applyProtection="1">
      <alignment horizontal="left" vertical="center" wrapText="1"/>
    </xf>
    <xf numFmtId="49" fontId="0" fillId="0" borderId="95" xfId="0" applyNumberFormat="1" applyBorder="1" applyAlignment="1">
      <alignment horizontal="center" vertical="center" wrapText="1"/>
    </xf>
    <xf numFmtId="0" fontId="0" fillId="0" borderId="92" xfId="0" applyBorder="1" applyAlignment="1">
      <alignment horizontal="center" vertical="center" wrapText="1"/>
    </xf>
    <xf numFmtId="49" fontId="0" fillId="0" borderId="93" xfId="0" applyNumberFormat="1" applyBorder="1" applyAlignment="1">
      <alignment horizontal="center" vertical="center" wrapText="1"/>
    </xf>
    <xf numFmtId="44" fontId="2" fillId="0" borderId="90" xfId="1" applyBorder="1" applyAlignment="1" applyProtection="1">
      <alignment horizontal="left" vertical="center" wrapText="1"/>
    </xf>
    <xf numFmtId="0" fontId="0" fillId="0" borderId="119" xfId="0" applyBorder="1" applyAlignment="1">
      <alignment horizontal="center" vertical="center" wrapText="1"/>
    </xf>
    <xf numFmtId="49" fontId="0" fillId="0" borderId="90" xfId="0" applyNumberFormat="1" applyBorder="1" applyAlignment="1">
      <alignment horizontal="center" vertical="center" wrapText="1"/>
    </xf>
    <xf numFmtId="49" fontId="0" fillId="0" borderId="68" xfId="0" applyNumberFormat="1" applyBorder="1" applyAlignment="1">
      <alignment horizontal="center" vertical="center" wrapText="1"/>
    </xf>
    <xf numFmtId="49" fontId="26" fillId="0" borderId="80" xfId="0" applyNumberFormat="1" applyFont="1" applyBorder="1" applyAlignment="1">
      <alignment horizontal="center" vertical="center" wrapText="1"/>
    </xf>
    <xf numFmtId="0" fontId="26" fillId="0" borderId="1" xfId="0" applyFont="1" applyBorder="1" applyAlignment="1">
      <alignment vertical="center" wrapText="1"/>
    </xf>
    <xf numFmtId="0" fontId="26" fillId="0" borderId="81" xfId="0" applyFont="1" applyBorder="1" applyAlignment="1">
      <alignment horizontal="center" vertical="center" wrapText="1"/>
    </xf>
    <xf numFmtId="49" fontId="26" fillId="0" borderId="11" xfId="0" applyNumberFormat="1" applyFont="1" applyBorder="1" applyAlignment="1">
      <alignment horizontal="center" vertical="center" wrapText="1"/>
    </xf>
    <xf numFmtId="44" fontId="30" fillId="0" borderId="72" xfId="1" applyFont="1" applyBorder="1" applyAlignment="1" applyProtection="1">
      <alignment horizontal="left" vertical="center" wrapText="1"/>
    </xf>
    <xf numFmtId="49" fontId="26" fillId="0" borderId="95" xfId="0" applyNumberFormat="1" applyFont="1" applyBorder="1" applyAlignment="1">
      <alignment horizontal="center" vertical="center" wrapText="1"/>
    </xf>
    <xf numFmtId="0" fontId="20" fillId="0" borderId="120" xfId="0" applyFont="1" applyBorder="1" applyAlignment="1">
      <alignment vertical="center" wrapText="1"/>
    </xf>
    <xf numFmtId="0" fontId="20" fillId="0" borderId="68" xfId="0" applyFont="1" applyBorder="1" applyAlignment="1">
      <alignment vertical="center" wrapText="1"/>
    </xf>
    <xf numFmtId="0" fontId="0" fillId="0" borderId="94" xfId="0" applyBorder="1" applyAlignment="1">
      <alignment horizontal="center" vertical="center" wrapText="1"/>
    </xf>
    <xf numFmtId="49" fontId="0" fillId="0" borderId="1" xfId="0" applyNumberFormat="1" applyBorder="1" applyAlignment="1">
      <alignment horizontal="center" vertical="center" wrapText="1"/>
    </xf>
    <xf numFmtId="44" fontId="2" fillId="0" borderId="1" xfId="1" applyBorder="1" applyAlignment="1" applyProtection="1">
      <alignment horizontal="left" vertical="center" wrapText="1"/>
    </xf>
    <xf numFmtId="0" fontId="20" fillId="0" borderId="11" xfId="0" applyFont="1" applyBorder="1" applyAlignment="1">
      <alignment vertical="center" wrapText="1"/>
    </xf>
    <xf numFmtId="44" fontId="0" fillId="0" borderId="1" xfId="1" applyFont="1" applyBorder="1" applyAlignment="1" applyProtection="1">
      <alignment horizontal="left" vertical="center" wrapText="1"/>
    </xf>
    <xf numFmtId="0" fontId="0" fillId="0" borderId="1" xfId="0" applyBorder="1" applyAlignment="1">
      <alignment horizontal="center" vertical="center" wrapText="1"/>
    </xf>
    <xf numFmtId="44" fontId="5" fillId="22" borderId="87" xfId="0" applyNumberFormat="1" applyFont="1" applyFill="1" applyBorder="1" applyAlignment="1">
      <alignment horizontal="left" vertical="center" wrapText="1"/>
    </xf>
    <xf numFmtId="44" fontId="5" fillId="22" borderId="72" xfId="0" applyNumberFormat="1" applyFont="1" applyFill="1" applyBorder="1" applyAlignment="1">
      <alignment horizontal="left" vertical="center" wrapText="1"/>
    </xf>
    <xf numFmtId="0" fontId="28" fillId="0" borderId="0" xfId="0" applyFont="1"/>
    <xf numFmtId="0" fontId="26" fillId="0" borderId="0" xfId="0" applyFont="1"/>
    <xf numFmtId="44" fontId="0" fillId="7" borderId="95" xfId="1" applyFont="1" applyFill="1" applyBorder="1" applyAlignment="1" applyProtection="1">
      <alignment horizontal="left" vertical="center" wrapText="1"/>
      <protection locked="0"/>
    </xf>
    <xf numFmtId="0" fontId="29" fillId="0" borderId="0" xfId="0" applyFont="1" applyProtection="1">
      <protection locked="0"/>
    </xf>
    <xf numFmtId="0" fontId="20" fillId="24" borderId="1" xfId="0" applyFont="1" applyFill="1" applyBorder="1" applyAlignment="1">
      <alignment horizontal="justify" vertical="center" wrapText="1"/>
    </xf>
    <xf numFmtId="0" fontId="20" fillId="0" borderId="1" xfId="0" applyFont="1" applyBorder="1" applyAlignment="1">
      <alignment vertical="top"/>
    </xf>
    <xf numFmtId="0" fontId="0" fillId="0" borderId="95" xfId="0" applyBorder="1" applyAlignment="1">
      <alignment horizontal="center" vertical="center" wrapText="1"/>
    </xf>
    <xf numFmtId="0" fontId="5" fillId="0" borderId="0" xfId="0" applyFont="1" applyAlignment="1">
      <alignment horizontal="center" vertical="center"/>
    </xf>
    <xf numFmtId="166" fontId="10" fillId="0" borderId="11" xfId="0" applyNumberFormat="1" applyFont="1" applyBorder="1" applyAlignment="1">
      <alignment horizontal="center" vertical="center"/>
    </xf>
    <xf numFmtId="49" fontId="10" fillId="0" borderId="11" xfId="0" applyNumberFormat="1" applyFont="1" applyBorder="1" applyAlignment="1">
      <alignment horizontal="center" vertical="center"/>
    </xf>
    <xf numFmtId="166" fontId="10" fillId="3" borderId="11" xfId="0" applyNumberFormat="1" applyFont="1" applyFill="1" applyBorder="1" applyAlignment="1">
      <alignment horizontal="center" vertical="center"/>
    </xf>
    <xf numFmtId="166" fontId="10" fillId="3" borderId="62" xfId="0" applyNumberFormat="1" applyFont="1" applyFill="1" applyBorder="1" applyAlignment="1">
      <alignment horizontal="center" vertical="center"/>
    </xf>
    <xf numFmtId="166" fontId="10" fillId="5" borderId="66"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0" fillId="3" borderId="22" xfId="0" applyNumberFormat="1" applyFont="1" applyFill="1" applyBorder="1" applyAlignment="1">
      <alignment horizontal="center" vertical="center"/>
    </xf>
    <xf numFmtId="166" fontId="10" fillId="0" borderId="1" xfId="0" applyNumberFormat="1" applyFont="1" applyBorder="1" applyAlignment="1">
      <alignment horizontal="center" vertical="center"/>
    </xf>
    <xf numFmtId="49" fontId="10" fillId="0" borderId="1" xfId="0" applyNumberFormat="1" applyFont="1" applyBorder="1" applyAlignment="1">
      <alignment horizontal="center" vertical="center"/>
    </xf>
    <xf numFmtId="0" fontId="0" fillId="0" borderId="0" xfId="0" applyAlignment="1">
      <alignment horizontal="center"/>
    </xf>
    <xf numFmtId="0" fontId="7" fillId="6" borderId="73" xfId="0" applyFont="1" applyFill="1" applyBorder="1" applyAlignment="1">
      <alignment horizontal="center" vertical="center" wrapText="1"/>
    </xf>
    <xf numFmtId="166" fontId="7" fillId="6" borderId="73" xfId="0" applyNumberFormat="1" applyFont="1" applyFill="1" applyBorder="1" applyAlignment="1">
      <alignment horizontal="center" vertical="center"/>
    </xf>
    <xf numFmtId="166" fontId="7" fillId="5" borderId="67" xfId="0" applyNumberFormat="1" applyFont="1" applyFill="1" applyBorder="1" applyAlignment="1">
      <alignment horizontal="center" vertical="center"/>
    </xf>
    <xf numFmtId="0" fontId="0" fillId="0" borderId="0" xfId="0" applyAlignment="1">
      <alignment vertical="center"/>
    </xf>
    <xf numFmtId="0" fontId="5" fillId="25" borderId="97" xfId="0" applyFont="1" applyFill="1" applyBorder="1" applyAlignment="1">
      <alignment horizontal="center" vertical="center"/>
    </xf>
    <xf numFmtId="0" fontId="5" fillId="26" borderId="98" xfId="0" applyFont="1" applyFill="1" applyBorder="1" applyAlignment="1">
      <alignment vertical="center"/>
    </xf>
    <xf numFmtId="166" fontId="7" fillId="0" borderId="0" xfId="0" applyNumberFormat="1" applyFont="1" applyAlignment="1">
      <alignment horizontal="center"/>
    </xf>
    <xf numFmtId="0" fontId="5" fillId="4" borderId="20" xfId="0" applyFont="1" applyFill="1" applyBorder="1" applyAlignment="1">
      <alignment horizontal="center"/>
    </xf>
    <xf numFmtId="169" fontId="0" fillId="0" borderId="0" xfId="0" applyNumberFormat="1"/>
    <xf numFmtId="166" fontId="5" fillId="11" borderId="17" xfId="0" applyNumberFormat="1" applyFont="1" applyFill="1" applyBorder="1" applyAlignment="1">
      <alignment horizontal="center"/>
    </xf>
    <xf numFmtId="1" fontId="5" fillId="12" borderId="79" xfId="0" applyNumberFormat="1" applyFont="1" applyFill="1" applyBorder="1" applyAlignment="1">
      <alignment horizontal="center"/>
    </xf>
    <xf numFmtId="0" fontId="5" fillId="4" borderId="74" xfId="0" applyFont="1" applyFill="1" applyBorder="1" applyAlignment="1">
      <alignment horizontal="center"/>
    </xf>
    <xf numFmtId="0" fontId="5" fillId="4" borderId="11" xfId="0" applyFont="1" applyFill="1" applyBorder="1" applyAlignment="1">
      <alignment horizontal="center"/>
    </xf>
    <xf numFmtId="166" fontId="5" fillId="11" borderId="19" xfId="0" applyNumberFormat="1" applyFont="1" applyFill="1" applyBorder="1" applyAlignment="1">
      <alignment horizontal="center"/>
    </xf>
    <xf numFmtId="1" fontId="5" fillId="12" borderId="18" xfId="0" applyNumberFormat="1" applyFont="1" applyFill="1" applyBorder="1" applyAlignment="1">
      <alignment horizontal="center"/>
    </xf>
    <xf numFmtId="0" fontId="3" fillId="2" borderId="0" xfId="0" applyFont="1" applyFill="1"/>
    <xf numFmtId="0" fontId="3" fillId="2" borderId="3" xfId="0" applyFont="1" applyFill="1" applyBorder="1"/>
    <xf numFmtId="0" fontId="15" fillId="0" borderId="0" xfId="0" applyFont="1"/>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5" fillId="0" borderId="2" xfId="0" applyFont="1" applyBorder="1"/>
    <xf numFmtId="0" fontId="16"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vertical="center" wrapText="1"/>
    </xf>
    <xf numFmtId="0" fontId="16" fillId="0" borderId="0" xfId="0" applyFont="1" applyAlignment="1">
      <alignment vertical="center"/>
    </xf>
    <xf numFmtId="164" fontId="15" fillId="0" borderId="4" xfId="0" applyNumberFormat="1" applyFont="1" applyBorder="1" applyAlignment="1">
      <alignment horizontal="center" vertical="center" wrapText="1"/>
    </xf>
    <xf numFmtId="0" fontId="15" fillId="0" borderId="4" xfId="0" applyFont="1" applyBorder="1" applyAlignment="1">
      <alignment vertical="center" wrapText="1"/>
    </xf>
    <xf numFmtId="10" fontId="15" fillId="0" borderId="4" xfId="0" applyNumberFormat="1" applyFont="1" applyBorder="1" applyAlignment="1">
      <alignment horizontal="center" vertical="center" wrapText="1"/>
    </xf>
    <xf numFmtId="0" fontId="16" fillId="0" borderId="2" xfId="0" applyFont="1" applyBorder="1" applyAlignment="1">
      <alignment horizontal="center" vertical="center"/>
    </xf>
    <xf numFmtId="0" fontId="13" fillId="0" borderId="2" xfId="0" applyFont="1" applyBorder="1" applyAlignment="1">
      <alignment vertical="top" wrapText="1"/>
    </xf>
    <xf numFmtId="44" fontId="15" fillId="0" borderId="4" xfId="0" applyNumberFormat="1" applyFont="1" applyBorder="1" applyAlignment="1">
      <alignment horizontal="center" vertical="center" wrapText="1"/>
    </xf>
    <xf numFmtId="0" fontId="15" fillId="0" borderId="0" xfId="0" applyFont="1" applyAlignment="1">
      <alignment vertical="center"/>
    </xf>
    <xf numFmtId="0" fontId="15" fillId="0" borderId="8" xfId="0" applyFont="1" applyBorder="1" applyAlignment="1">
      <alignment horizontal="justify" vertical="center" wrapText="1"/>
    </xf>
    <xf numFmtId="0" fontId="15" fillId="0" borderId="4" xfId="0" applyFont="1" applyBorder="1" applyAlignment="1">
      <alignment horizontal="center" vertical="center" wrapText="1"/>
    </xf>
    <xf numFmtId="0" fontId="15" fillId="0" borderId="9" xfId="0" applyFont="1" applyBorder="1"/>
    <xf numFmtId="164" fontId="15" fillId="0" borderId="10" xfId="0" applyNumberFormat="1" applyFont="1" applyBorder="1" applyAlignment="1">
      <alignment horizontal="center" vertical="center" wrapText="1"/>
    </xf>
    <xf numFmtId="164" fontId="15" fillId="0" borderId="2" xfId="0" applyNumberFormat="1" applyFont="1" applyBorder="1"/>
    <xf numFmtId="0" fontId="15" fillId="0" borderId="2" xfId="0" applyFont="1" applyBorder="1" applyAlignment="1">
      <alignment horizontal="center" vertical="center" wrapText="1"/>
    </xf>
    <xf numFmtId="0" fontId="15" fillId="0" borderId="2" xfId="0" applyFont="1" applyBorder="1" applyAlignment="1">
      <alignment horizontal="center"/>
    </xf>
    <xf numFmtId="0" fontId="16" fillId="0" borderId="5" xfId="0" applyFont="1" applyBorder="1" applyAlignment="1">
      <alignment vertical="center" wrapText="1"/>
    </xf>
    <xf numFmtId="0" fontId="16" fillId="0" borderId="6" xfId="0" applyFont="1" applyBorder="1" applyAlignment="1">
      <alignment vertical="center" wrapText="1"/>
    </xf>
    <xf numFmtId="164" fontId="17" fillId="0" borderId="4" xfId="0" applyNumberFormat="1" applyFont="1" applyBorder="1" applyAlignment="1">
      <alignment horizontal="center" vertical="center" wrapText="1"/>
    </xf>
    <xf numFmtId="0" fontId="16" fillId="0" borderId="5" xfId="0" applyFont="1" applyBorder="1" applyAlignment="1">
      <alignment horizontal="left" vertical="center" wrapText="1"/>
    </xf>
    <xf numFmtId="0" fontId="16" fillId="0" borderId="7" xfId="0" applyFont="1" applyBorder="1" applyAlignment="1">
      <alignment horizontal="center" vertical="center" wrapText="1"/>
    </xf>
    <xf numFmtId="44" fontId="15" fillId="0" borderId="4" xfId="0" applyNumberFormat="1" applyFont="1" applyBorder="1" applyAlignment="1">
      <alignment vertical="center" wrapText="1"/>
    </xf>
    <xf numFmtId="164" fontId="15" fillId="0" borderId="4" xfId="0" applyNumberFormat="1" applyFont="1" applyBorder="1" applyAlignment="1">
      <alignment vertical="center" wrapText="1"/>
    </xf>
    <xf numFmtId="44" fontId="15" fillId="22" borderId="4" xfId="0" applyNumberFormat="1" applyFont="1" applyFill="1" applyBorder="1" applyAlignment="1">
      <alignment vertical="center" wrapText="1"/>
    </xf>
    <xf numFmtId="0" fontId="12" fillId="0" borderId="0" xfId="0" applyFont="1"/>
    <xf numFmtId="0" fontId="16" fillId="0" borderId="29" xfId="0" applyFont="1" applyBorder="1" applyAlignment="1">
      <alignment horizontal="center" vertical="center" wrapText="1"/>
    </xf>
    <xf numFmtId="0" fontId="15" fillId="0" borderId="25" xfId="0" applyFont="1" applyBorder="1"/>
    <xf numFmtId="0" fontId="16" fillId="0" borderId="2" xfId="0" applyFont="1" applyBorder="1"/>
    <xf numFmtId="44" fontId="5" fillId="22" borderId="83" xfId="0" applyNumberFormat="1" applyFont="1" applyFill="1" applyBorder="1" applyAlignment="1">
      <alignment horizontal="center" vertical="center"/>
    </xf>
    <xf numFmtId="44" fontId="13" fillId="7" borderId="2" xfId="0" applyNumberFormat="1" applyFont="1" applyFill="1" applyBorder="1" applyAlignment="1" applyProtection="1">
      <alignment vertical="center" wrapText="1"/>
      <protection locked="0"/>
    </xf>
    <xf numFmtId="0" fontId="35" fillId="0" borderId="0" xfId="5" applyFont="1"/>
    <xf numFmtId="0" fontId="36" fillId="8" borderId="0" xfId="5" applyFont="1" applyFill="1" applyAlignment="1">
      <alignment horizontal="justify" vertical="justify" wrapText="1"/>
    </xf>
    <xf numFmtId="0" fontId="37" fillId="8" borderId="0" xfId="5" applyFont="1" applyFill="1" applyAlignment="1">
      <alignment horizontal="justify" vertical="center" wrapText="1"/>
    </xf>
    <xf numFmtId="0" fontId="40" fillId="0" borderId="0" xfId="5" applyFont="1"/>
    <xf numFmtId="0" fontId="43" fillId="0" borderId="0" xfId="5" applyFont="1"/>
    <xf numFmtId="0" fontId="46" fillId="0" borderId="0" xfId="7" applyFont="1"/>
    <xf numFmtId="0" fontId="1" fillId="0" borderId="0" xfId="7"/>
    <xf numFmtId="0" fontId="45" fillId="28" borderId="1" xfId="7" applyFont="1" applyFill="1" applyBorder="1" applyAlignment="1">
      <alignment horizontal="center" vertical="center" wrapText="1"/>
    </xf>
    <xf numFmtId="0" fontId="47" fillId="0" borderId="1" xfId="7" applyFont="1" applyBorder="1" applyAlignment="1">
      <alignment horizontal="justify" vertical="center" wrapText="1"/>
    </xf>
    <xf numFmtId="0" fontId="47" fillId="0" borderId="1" xfId="7" applyFont="1" applyBorder="1" applyAlignment="1">
      <alignment horizontal="center" vertical="center" wrapText="1"/>
    </xf>
    <xf numFmtId="169" fontId="47" fillId="0" borderId="1" xfId="7" applyNumberFormat="1" applyFont="1" applyBorder="1" applyAlignment="1">
      <alignment horizontal="center" vertical="center"/>
    </xf>
    <xf numFmtId="3" fontId="46" fillId="0" borderId="1" xfId="7" applyNumberFormat="1" applyFont="1" applyBorder="1" applyAlignment="1">
      <alignment horizontal="center" vertical="center"/>
    </xf>
    <xf numFmtId="169" fontId="46" fillId="0" borderId="1" xfId="7" applyNumberFormat="1" applyFont="1" applyBorder="1" applyAlignment="1">
      <alignment horizontal="center" vertical="center"/>
    </xf>
    <xf numFmtId="169" fontId="1" fillId="0" borderId="0" xfId="7" applyNumberFormat="1"/>
    <xf numFmtId="0" fontId="1" fillId="0" borderId="0" xfId="7" applyAlignment="1">
      <alignment horizontal="center"/>
    </xf>
    <xf numFmtId="169" fontId="48" fillId="0" borderId="0" xfId="7" applyNumberFormat="1" applyFont="1"/>
    <xf numFmtId="44" fontId="46" fillId="0" borderId="0" xfId="7" applyNumberFormat="1" applyFont="1"/>
    <xf numFmtId="169" fontId="46" fillId="0" borderId="0" xfId="7" applyNumberFormat="1" applyFont="1"/>
    <xf numFmtId="169" fontId="48" fillId="28" borderId="94" xfId="7" applyNumberFormat="1" applyFont="1" applyFill="1" applyBorder="1"/>
    <xf numFmtId="169" fontId="48" fillId="28" borderId="94" xfId="7" applyNumberFormat="1" applyFont="1" applyFill="1" applyBorder="1" applyAlignment="1">
      <alignment horizontal="center"/>
    </xf>
    <xf numFmtId="0" fontId="36" fillId="8" borderId="123" xfId="5" applyFont="1" applyFill="1" applyBorder="1" applyAlignment="1">
      <alignment vertical="center" wrapText="1"/>
    </xf>
    <xf numFmtId="0" fontId="35" fillId="0" borderId="123" xfId="5" applyFont="1" applyBorder="1"/>
    <xf numFmtId="0" fontId="36" fillId="8" borderId="0" xfId="5" applyFont="1" applyFill="1" applyAlignment="1">
      <alignment vertical="center" wrapText="1"/>
    </xf>
    <xf numFmtId="0" fontId="35" fillId="0" borderId="124" xfId="5" applyFont="1" applyBorder="1"/>
    <xf numFmtId="0" fontId="35" fillId="8" borderId="0" xfId="5" applyFont="1" applyFill="1"/>
    <xf numFmtId="0" fontId="34" fillId="0" borderId="83" xfId="7" applyFont="1" applyBorder="1"/>
    <xf numFmtId="0" fontId="34" fillId="0" borderId="0" xfId="7" applyFont="1"/>
    <xf numFmtId="0" fontId="35" fillId="8" borderId="0" xfId="5" applyFont="1" applyFill="1" applyAlignment="1">
      <alignment horizontal="left" vertical="center"/>
    </xf>
    <xf numFmtId="0" fontId="50" fillId="29" borderId="22" xfId="7" applyFont="1" applyFill="1" applyBorder="1" applyAlignment="1">
      <alignment horizontal="center"/>
    </xf>
    <xf numFmtId="0" fontId="50" fillId="29" borderId="121" xfId="7" applyFont="1" applyFill="1" applyBorder="1" applyAlignment="1">
      <alignment horizontal="center"/>
    </xf>
    <xf numFmtId="169" fontId="46" fillId="8" borderId="0" xfId="7" applyNumberFormat="1" applyFont="1" applyFill="1"/>
    <xf numFmtId="44" fontId="46" fillId="8" borderId="0" xfId="7" applyNumberFormat="1" applyFont="1" applyFill="1"/>
    <xf numFmtId="0" fontId="1" fillId="8" borderId="0" xfId="7" applyFill="1"/>
    <xf numFmtId="0" fontId="37" fillId="8" borderId="0" xfId="5" applyFont="1" applyFill="1" applyAlignment="1">
      <alignment horizontal="center" vertical="center" wrapText="1"/>
    </xf>
    <xf numFmtId="0" fontId="37" fillId="8" borderId="0" xfId="5" applyFont="1" applyFill="1" applyAlignment="1">
      <alignment horizontal="justify" vertical="center" wrapText="1"/>
    </xf>
    <xf numFmtId="0" fontId="34" fillId="0" borderId="83" xfId="7" applyFont="1" applyBorder="1" applyAlignment="1">
      <alignment horizontal="center"/>
    </xf>
    <xf numFmtId="169" fontId="34" fillId="0" borderId="88" xfId="7" applyNumberFormat="1" applyFont="1" applyBorder="1" applyAlignment="1">
      <alignment horizontal="left"/>
    </xf>
    <xf numFmtId="169" fontId="34" fillId="0" borderId="85" xfId="7" applyNumberFormat="1" applyFont="1" applyBorder="1" applyAlignment="1">
      <alignment horizontal="left"/>
    </xf>
    <xf numFmtId="0" fontId="36" fillId="7" borderId="0" xfId="5" applyFont="1" applyFill="1" applyAlignment="1">
      <alignment horizontal="left" vertical="center" wrapText="1"/>
    </xf>
    <xf numFmtId="0" fontId="36" fillId="30" borderId="0" xfId="5" applyFont="1" applyFill="1" applyAlignment="1">
      <alignment horizontal="left" vertical="center" wrapText="1"/>
    </xf>
    <xf numFmtId="0" fontId="50" fillId="28" borderId="22" xfId="7" applyFont="1" applyFill="1" applyBorder="1" applyAlignment="1">
      <alignment horizontal="center"/>
    </xf>
    <xf numFmtId="0" fontId="50" fillId="28" borderId="121" xfId="7" applyFont="1" applyFill="1" applyBorder="1" applyAlignment="1">
      <alignment horizontal="center"/>
    </xf>
    <xf numFmtId="0" fontId="36" fillId="8" borderId="62" xfId="5" applyFont="1" applyFill="1" applyBorder="1" applyAlignment="1">
      <alignment horizontal="left" vertical="center" wrapText="1"/>
    </xf>
    <xf numFmtId="0" fontId="36" fillId="8" borderId="124" xfId="5" applyFont="1" applyFill="1" applyBorder="1" applyAlignment="1">
      <alignment horizontal="left" vertical="center" wrapText="1"/>
    </xf>
    <xf numFmtId="0" fontId="11" fillId="0" borderId="124" xfId="5" applyFont="1" applyBorder="1" applyAlignment="1">
      <alignment horizontal="left" vertical="center" wrapText="1"/>
    </xf>
    <xf numFmtId="0" fontId="49" fillId="0" borderId="124" xfId="5" applyFont="1" applyBorder="1" applyAlignment="1">
      <alignment horizontal="left" vertical="center" wrapText="1"/>
    </xf>
    <xf numFmtId="0" fontId="36" fillId="8" borderId="109" xfId="5" applyFont="1" applyFill="1" applyBorder="1" applyAlignment="1">
      <alignment horizontal="center" vertical="center" wrapText="1"/>
    </xf>
    <xf numFmtId="0" fontId="36" fillId="8" borderId="0" xfId="5" applyFont="1" applyFill="1" applyAlignment="1">
      <alignment horizontal="center" vertical="center" wrapText="1"/>
    </xf>
    <xf numFmtId="0" fontId="36" fillId="8" borderId="0" xfId="5" applyFont="1" applyFill="1" applyAlignment="1">
      <alignment horizontal="justify" vertical="center" wrapText="1"/>
    </xf>
    <xf numFmtId="0" fontId="36" fillId="8" borderId="0" xfId="5" applyFont="1" applyFill="1" applyAlignment="1">
      <alignment horizontal="left" vertical="center" wrapText="1"/>
    </xf>
    <xf numFmtId="0" fontId="35" fillId="0" borderId="124" xfId="5" applyFont="1" applyBorder="1" applyAlignment="1">
      <alignment horizontal="left"/>
    </xf>
    <xf numFmtId="0" fontId="36" fillId="8" borderId="22" xfId="5" applyFont="1" applyFill="1" applyBorder="1" applyAlignment="1">
      <alignment horizontal="center" vertical="center" wrapText="1"/>
    </xf>
    <xf numFmtId="0" fontId="36" fillId="8" borderId="121" xfId="5" applyFont="1" applyFill="1" applyBorder="1" applyAlignment="1">
      <alignment horizontal="center" vertical="center" wrapText="1"/>
    </xf>
    <xf numFmtId="0" fontId="36" fillId="8" borderId="122" xfId="5" applyFont="1" applyFill="1" applyBorder="1" applyAlignment="1">
      <alignment horizontal="center" vertical="center" wrapText="1"/>
    </xf>
    <xf numFmtId="0" fontId="36" fillId="8" borderId="123" xfId="5" applyFont="1" applyFill="1" applyBorder="1" applyAlignment="1">
      <alignment horizontal="center" vertical="center" wrapText="1"/>
    </xf>
    <xf numFmtId="0" fontId="36" fillId="8" borderId="109" xfId="5" applyFont="1" applyFill="1" applyBorder="1" applyAlignment="1">
      <alignment horizontal="left" vertical="center" wrapText="1"/>
    </xf>
    <xf numFmtId="0" fontId="11" fillId="0" borderId="0" xfId="5" applyFont="1" applyAlignment="1">
      <alignment horizontal="left" vertical="center" wrapText="1"/>
    </xf>
    <xf numFmtId="0" fontId="35" fillId="0" borderId="0" xfId="5" applyFont="1" applyAlignment="1">
      <alignment horizontal="left"/>
    </xf>
    <xf numFmtId="0" fontId="36" fillId="8" borderId="122" xfId="5" applyFont="1" applyFill="1" applyBorder="1" applyAlignment="1">
      <alignment horizontal="left" vertical="center" wrapText="1"/>
    </xf>
    <xf numFmtId="0" fontId="36" fillId="8" borderId="123" xfId="5" applyFont="1" applyFill="1" applyBorder="1" applyAlignment="1">
      <alignment horizontal="left" vertical="center" wrapText="1"/>
    </xf>
    <xf numFmtId="0" fontId="48" fillId="28" borderId="1" xfId="7" applyFont="1" applyFill="1" applyBorder="1" applyAlignment="1">
      <alignment horizontal="right"/>
    </xf>
    <xf numFmtId="0" fontId="46" fillId="0" borderId="1" xfId="7" applyFont="1" applyBorder="1" applyAlignment="1">
      <alignment horizontal="center" vertical="center"/>
    </xf>
    <xf numFmtId="0" fontId="46" fillId="0" borderId="0" xfId="7" applyFont="1"/>
    <xf numFmtId="0" fontId="45" fillId="0" borderId="1" xfId="7" applyFont="1" applyBorder="1" applyAlignment="1">
      <alignment horizontal="left" vertical="center"/>
    </xf>
    <xf numFmtId="0" fontId="45" fillId="0" borderId="1" xfId="7" applyFont="1" applyBorder="1" applyAlignment="1">
      <alignment horizontal="center" vertical="center"/>
    </xf>
    <xf numFmtId="0" fontId="45" fillId="28" borderId="1" xfId="7" applyFont="1" applyFill="1" applyBorder="1" applyAlignment="1">
      <alignment horizontal="center" vertical="center" wrapText="1"/>
    </xf>
    <xf numFmtId="0" fontId="45" fillId="28" borderId="1" xfId="7" applyFont="1" applyFill="1" applyBorder="1" applyAlignment="1">
      <alignment horizontal="center" vertical="center" textRotation="90" wrapText="1"/>
    </xf>
    <xf numFmtId="0" fontId="45" fillId="0" borderId="1" xfId="7" applyFont="1" applyBorder="1" applyAlignment="1">
      <alignment horizontal="right" vertical="center"/>
    </xf>
    <xf numFmtId="0" fontId="38" fillId="0" borderId="0" xfId="5" applyFont="1" applyAlignment="1">
      <alignment horizontal="center" vertical="center"/>
    </xf>
    <xf numFmtId="0" fontId="39" fillId="8" borderId="0" xfId="5" applyFont="1" applyFill="1" applyAlignment="1">
      <alignment horizontal="left" wrapText="1"/>
    </xf>
    <xf numFmtId="0" fontId="41" fillId="8" borderId="0" xfId="5" applyFont="1" applyFill="1" applyAlignment="1">
      <alignment horizontal="left" wrapText="1"/>
    </xf>
    <xf numFmtId="0" fontId="42" fillId="8" borderId="0" xfId="5" applyFont="1" applyFill="1" applyAlignment="1">
      <alignment horizontal="left" wrapText="1"/>
    </xf>
    <xf numFmtId="0" fontId="36" fillId="15" borderId="0" xfId="5" applyFont="1" applyFill="1" applyAlignment="1">
      <alignment horizontal="center" vertical="center" wrapText="1"/>
    </xf>
    <xf numFmtId="0" fontId="37" fillId="8" borderId="0" xfId="5" applyFont="1" applyFill="1" applyAlignment="1">
      <alignment vertical="center" wrapText="1"/>
    </xf>
    <xf numFmtId="0" fontId="37" fillId="8" borderId="0" xfId="6" applyFont="1" applyFill="1" applyAlignment="1" applyProtection="1">
      <alignment horizontal="justify" vertical="center" wrapText="1"/>
    </xf>
    <xf numFmtId="0" fontId="45" fillId="0" borderId="1" xfId="7" applyFont="1" applyBorder="1" applyAlignment="1">
      <alignment horizontal="center"/>
    </xf>
    <xf numFmtId="0" fontId="1" fillId="0" borderId="1" xfId="7" applyBorder="1" applyAlignment="1">
      <alignment horizontal="center" vertical="center"/>
    </xf>
    <xf numFmtId="0" fontId="5" fillId="0" borderId="96" xfId="0" applyFont="1" applyBorder="1" applyAlignment="1">
      <alignment horizontal="justify" vertical="center" wrapText="1"/>
    </xf>
    <xf numFmtId="0" fontId="5" fillId="4" borderId="75" xfId="0" applyFont="1" applyFill="1" applyBorder="1" applyAlignment="1">
      <alignment horizontal="center" vertical="center"/>
    </xf>
    <xf numFmtId="0" fontId="5" fillId="4" borderId="77" xfId="0" applyFont="1" applyFill="1" applyBorder="1" applyAlignment="1">
      <alignment horizontal="center" vertical="center"/>
    </xf>
    <xf numFmtId="0" fontId="5" fillId="4" borderId="76" xfId="0" applyFont="1" applyFill="1" applyBorder="1" applyAlignment="1">
      <alignment horizontal="center" vertical="center"/>
    </xf>
    <xf numFmtId="0" fontId="5" fillId="4" borderId="51" xfId="0" applyFont="1" applyFill="1" applyBorder="1" applyAlignment="1">
      <alignment horizontal="center" vertical="center"/>
    </xf>
    <xf numFmtId="0" fontId="5" fillId="4" borderId="78" xfId="0" applyFont="1" applyFill="1" applyBorder="1" applyAlignment="1">
      <alignment horizontal="center" vertical="center"/>
    </xf>
    <xf numFmtId="0" fontId="5" fillId="4" borderId="47" xfId="0" applyFont="1" applyFill="1" applyBorder="1" applyAlignment="1">
      <alignment horizontal="center" vertical="center"/>
    </xf>
    <xf numFmtId="166" fontId="5" fillId="11" borderId="52" xfId="0" applyNumberFormat="1" applyFont="1" applyFill="1" applyBorder="1" applyAlignment="1">
      <alignment horizontal="center"/>
    </xf>
    <xf numFmtId="166" fontId="5" fillId="18" borderId="53" xfId="0" applyNumberFormat="1" applyFont="1" applyFill="1" applyBorder="1" applyAlignment="1">
      <alignment horizontal="right" vertical="center"/>
    </xf>
    <xf numFmtId="166" fontId="5" fillId="18" borderId="54" xfId="0" applyNumberFormat="1" applyFont="1" applyFill="1" applyBorder="1" applyAlignment="1">
      <alignment horizontal="right" vertical="center"/>
    </xf>
    <xf numFmtId="166" fontId="5" fillId="18" borderId="53" xfId="0" applyNumberFormat="1" applyFont="1" applyFill="1" applyBorder="1" applyAlignment="1">
      <alignment horizontal="center" vertical="center"/>
    </xf>
    <xf numFmtId="166" fontId="5" fillId="18" borderId="54" xfId="0" applyNumberFormat="1" applyFont="1" applyFill="1" applyBorder="1" applyAlignment="1">
      <alignment horizontal="center" vertical="center"/>
    </xf>
    <xf numFmtId="0" fontId="0" fillId="0" borderId="0" xfId="0" applyAlignment="1">
      <alignment horizontal="center"/>
    </xf>
    <xf numFmtId="0" fontId="5" fillId="6" borderId="42" xfId="0" applyFont="1" applyFill="1" applyBorder="1" applyAlignment="1">
      <alignment horizontal="center" vertical="center"/>
    </xf>
    <xf numFmtId="0" fontId="5" fillId="6" borderId="43" xfId="0" applyFont="1" applyFill="1" applyBorder="1" applyAlignment="1">
      <alignment horizontal="center" vertical="center"/>
    </xf>
    <xf numFmtId="0" fontId="5" fillId="4" borderId="44"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46" xfId="0" applyFont="1" applyFill="1" applyBorder="1" applyAlignment="1">
      <alignment horizontal="center" vertical="center"/>
    </xf>
    <xf numFmtId="166" fontId="5" fillId="11" borderId="48" xfId="0" applyNumberFormat="1" applyFont="1" applyFill="1" applyBorder="1" applyAlignment="1">
      <alignment horizontal="center"/>
    </xf>
    <xf numFmtId="0" fontId="9" fillId="5" borderId="63" xfId="0" applyFont="1" applyFill="1" applyBorder="1" applyAlignment="1">
      <alignment horizontal="center" vertical="center" wrapText="1"/>
    </xf>
    <xf numFmtId="0" fontId="9" fillId="5" borderId="64" xfId="0" applyFont="1" applyFill="1" applyBorder="1" applyAlignment="1">
      <alignment horizontal="center" vertical="center" wrapText="1"/>
    </xf>
    <xf numFmtId="0" fontId="9" fillId="5" borderId="65" xfId="0" applyFont="1" applyFill="1" applyBorder="1" applyAlignment="1">
      <alignment horizontal="center" vertical="center" wrapText="1"/>
    </xf>
    <xf numFmtId="0" fontId="5" fillId="16" borderId="38" xfId="0" applyFont="1" applyFill="1" applyBorder="1" applyAlignment="1">
      <alignment horizontal="center" vertical="center"/>
    </xf>
    <xf numFmtId="0" fontId="5" fillId="16" borderId="39" xfId="0" applyFont="1" applyFill="1" applyBorder="1" applyAlignment="1">
      <alignment horizontal="center" vertical="center"/>
    </xf>
    <xf numFmtId="0" fontId="7" fillId="16" borderId="38" xfId="0" applyFont="1" applyFill="1" applyBorder="1" applyAlignment="1">
      <alignment horizontal="center" vertical="center" wrapText="1"/>
    </xf>
    <xf numFmtId="0" fontId="7" fillId="16" borderId="41" xfId="0" applyFont="1" applyFill="1" applyBorder="1" applyAlignment="1">
      <alignment horizontal="center" vertical="center" wrapText="1"/>
    </xf>
    <xf numFmtId="0" fontId="7" fillId="16" borderId="60" xfId="0" applyFont="1" applyFill="1" applyBorder="1" applyAlignment="1">
      <alignment horizontal="center" vertical="center" wrapText="1"/>
    </xf>
    <xf numFmtId="0" fontId="7" fillId="16" borderId="61" xfId="0" applyFont="1" applyFill="1" applyBorder="1" applyAlignment="1">
      <alignment horizontal="center" vertical="center" wrapText="1"/>
    </xf>
    <xf numFmtId="0" fontId="5" fillId="17" borderId="49" xfId="0" applyFont="1" applyFill="1" applyBorder="1" applyAlignment="1">
      <alignment horizontal="center" vertical="center"/>
    </xf>
    <xf numFmtId="0" fontId="5" fillId="17" borderId="50" xfId="0" applyFont="1" applyFill="1" applyBorder="1" applyAlignment="1">
      <alignment horizontal="center" vertical="center"/>
    </xf>
    <xf numFmtId="0" fontId="5" fillId="27" borderId="25" xfId="0" applyFont="1" applyFill="1" applyBorder="1" applyAlignment="1">
      <alignment horizontal="right" vertical="center"/>
    </xf>
    <xf numFmtId="0" fontId="5" fillId="27" borderId="5" xfId="0" applyFont="1" applyFill="1" applyBorder="1" applyAlignment="1">
      <alignment horizontal="right" vertical="center"/>
    </xf>
    <xf numFmtId="0" fontId="5" fillId="27" borderId="6" xfId="0" applyFont="1" applyFill="1" applyBorder="1" applyAlignment="1">
      <alignment horizontal="right" vertical="center"/>
    </xf>
    <xf numFmtId="0" fontId="5" fillId="15" borderId="27" xfId="0" applyFont="1" applyFill="1" applyBorder="1" applyAlignment="1">
      <alignment horizontal="center" vertical="center"/>
    </xf>
    <xf numFmtId="0" fontId="5" fillId="15" borderId="28" xfId="0" applyFont="1" applyFill="1" applyBorder="1" applyAlignment="1">
      <alignment horizontal="center" vertical="center"/>
    </xf>
    <xf numFmtId="0" fontId="5" fillId="15" borderId="29" xfId="0" applyFont="1" applyFill="1" applyBorder="1" applyAlignment="1">
      <alignment horizontal="center" vertical="center"/>
    </xf>
    <xf numFmtId="0" fontId="5" fillId="4" borderId="30" xfId="0" applyFont="1" applyFill="1" applyBorder="1" applyAlignment="1">
      <alignment horizontal="center" vertical="center"/>
    </xf>
    <xf numFmtId="0" fontId="5" fillId="4" borderId="31" xfId="0" applyFont="1" applyFill="1" applyBorder="1" applyAlignment="1">
      <alignment horizontal="center" vertical="center"/>
    </xf>
    <xf numFmtId="0" fontId="5" fillId="4" borderId="32" xfId="0" applyFont="1" applyFill="1" applyBorder="1" applyAlignment="1">
      <alignment horizontal="center" vertical="center"/>
    </xf>
    <xf numFmtId="0" fontId="7" fillId="4" borderId="33"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27" borderId="9" xfId="0" applyFont="1" applyFill="1" applyBorder="1" applyAlignment="1">
      <alignment horizontal="center" vertical="center" wrapText="1"/>
    </xf>
    <xf numFmtId="0" fontId="7" fillId="27" borderId="26" xfId="0" applyFont="1" applyFill="1" applyBorder="1" applyAlignment="1">
      <alignment horizontal="center" vertical="center" wrapText="1"/>
    </xf>
    <xf numFmtId="0" fontId="7" fillId="27" borderId="7"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16" fillId="22" borderId="25" xfId="0" applyFont="1" applyFill="1" applyBorder="1" applyAlignment="1">
      <alignment horizontal="center" vertical="center" wrapText="1"/>
    </xf>
    <xf numFmtId="0" fontId="16" fillId="22" borderId="5" xfId="0" applyFont="1" applyFill="1" applyBorder="1" applyAlignment="1">
      <alignment horizontal="center" vertical="center" wrapText="1"/>
    </xf>
    <xf numFmtId="0" fontId="16" fillId="22" borderId="6" xfId="0" applyFont="1" applyFill="1" applyBorder="1" applyAlignment="1">
      <alignment horizontal="center" vertical="center" wrapText="1"/>
    </xf>
    <xf numFmtId="0" fontId="16" fillId="0" borderId="25" xfId="0" applyFont="1" applyBorder="1" applyAlignment="1">
      <alignment horizontal="center" vertical="center" wrapText="1"/>
    </xf>
    <xf numFmtId="0" fontId="16" fillId="0" borderId="5" xfId="0" applyFont="1" applyBorder="1" applyAlignment="1">
      <alignment horizontal="center" vertical="center" wrapText="1"/>
    </xf>
    <xf numFmtId="0" fontId="16" fillId="13" borderId="0" xfId="0" applyFont="1" applyFill="1" applyAlignment="1">
      <alignment horizontal="center" vertical="center"/>
    </xf>
    <xf numFmtId="0" fontId="16" fillId="14" borderId="0" xfId="0" applyFont="1" applyFill="1" applyAlignment="1">
      <alignment horizontal="center" vertical="center"/>
    </xf>
    <xf numFmtId="0" fontId="4" fillId="3" borderId="82" xfId="0" applyFont="1" applyFill="1" applyBorder="1" applyAlignment="1">
      <alignment horizontal="center" vertical="center"/>
    </xf>
    <xf numFmtId="0" fontId="4" fillId="3" borderId="0" xfId="0" applyFont="1" applyFill="1" applyAlignment="1">
      <alignment horizontal="center" vertical="center"/>
    </xf>
    <xf numFmtId="0" fontId="16" fillId="14" borderId="0" xfId="0" applyFont="1" applyFill="1" applyAlignment="1">
      <alignment horizontal="center" vertical="center" wrapText="1"/>
    </xf>
    <xf numFmtId="0" fontId="16" fillId="0" borderId="6" xfId="0" applyFont="1" applyBorder="1" applyAlignment="1">
      <alignment horizontal="center" vertical="center" wrapText="1"/>
    </xf>
    <xf numFmtId="0" fontId="5" fillId="3" borderId="23" xfId="0" applyFont="1" applyFill="1" applyBorder="1" applyAlignment="1" applyProtection="1">
      <alignment horizontal="left" vertical="center" indent="1"/>
      <protection locked="0"/>
    </xf>
    <xf numFmtId="0" fontId="5" fillId="3" borderId="21" xfId="0" applyFont="1" applyFill="1" applyBorder="1" applyAlignment="1" applyProtection="1">
      <alignment horizontal="left" vertical="center" indent="1"/>
      <protection locked="0"/>
    </xf>
    <xf numFmtId="0" fontId="4" fillId="3" borderId="55" xfId="0" applyFont="1" applyFill="1" applyBorder="1" applyAlignment="1">
      <alignment horizontal="center" vertical="center"/>
    </xf>
    <xf numFmtId="0" fontId="4" fillId="3" borderId="56" xfId="0" applyFont="1" applyFill="1" applyBorder="1" applyAlignment="1">
      <alignment horizontal="center" vertical="center"/>
    </xf>
    <xf numFmtId="0" fontId="11" fillId="3" borderId="25" xfId="0" applyFont="1" applyFill="1" applyBorder="1" applyAlignment="1">
      <alignment horizontal="center" vertical="center"/>
    </xf>
    <xf numFmtId="0" fontId="11" fillId="3" borderId="6" xfId="0" applyFont="1" applyFill="1" applyBorder="1" applyAlignment="1">
      <alignment horizontal="center" vertical="center"/>
    </xf>
    <xf numFmtId="0" fontId="5" fillId="3" borderId="23" xfId="0" applyFont="1" applyFill="1" applyBorder="1" applyAlignment="1" applyProtection="1">
      <alignment horizontal="center" vertical="center"/>
      <protection locked="0"/>
    </xf>
    <xf numFmtId="0" fontId="16" fillId="13" borderId="24" xfId="0" applyFont="1" applyFill="1" applyBorder="1" applyAlignment="1">
      <alignment horizontal="center" vertical="center"/>
    </xf>
    <xf numFmtId="0" fontId="12" fillId="0" borderId="99" xfId="0" applyFont="1" applyBorder="1" applyAlignment="1" applyProtection="1">
      <alignment horizontal="left" vertical="center"/>
      <protection locked="0"/>
    </xf>
    <xf numFmtId="0" fontId="12" fillId="0" borderId="0" xfId="0" applyFont="1" applyAlignment="1" applyProtection="1">
      <alignment horizontal="left" vertical="center"/>
      <protection locked="0"/>
    </xf>
    <xf numFmtId="0" fontId="12" fillId="0" borderId="99" xfId="0" applyFont="1" applyBorder="1" applyAlignment="1" applyProtection="1">
      <alignment horizontal="left"/>
      <protection locked="0"/>
    </xf>
    <xf numFmtId="0" fontId="12" fillId="0" borderId="0" xfId="0" applyFont="1" applyAlignment="1" applyProtection="1">
      <alignment horizontal="left"/>
      <protection locked="0"/>
    </xf>
    <xf numFmtId="0" fontId="12" fillId="0" borderId="99" xfId="0" applyFont="1" applyBorder="1" applyProtection="1">
      <protection locked="0"/>
    </xf>
    <xf numFmtId="0" fontId="12" fillId="0" borderId="0" xfId="0" applyFont="1" applyProtection="1">
      <protection locked="0"/>
    </xf>
    <xf numFmtId="0" fontId="12" fillId="0" borderId="99" xfId="0" applyFont="1" applyBorder="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2" fillId="0" borderId="0" xfId="0" applyFont="1" applyAlignment="1" applyProtection="1">
      <alignment horizontal="left" vertical="center" wrapText="1"/>
      <protection locked="0"/>
    </xf>
    <xf numFmtId="0" fontId="3" fillId="2" borderId="0" xfId="0" applyFont="1" applyFill="1" applyAlignment="1">
      <alignment horizontal="left" wrapText="1"/>
    </xf>
    <xf numFmtId="0" fontId="11" fillId="3" borderId="25" xfId="0" applyFont="1" applyFill="1" applyBorder="1" applyAlignment="1">
      <alignment horizontal="left" vertical="center" wrapText="1"/>
    </xf>
    <xf numFmtId="0" fontId="11" fillId="3" borderId="6" xfId="0" applyFont="1" applyFill="1" applyBorder="1" applyAlignment="1">
      <alignment horizontal="left" vertical="center" wrapText="1"/>
    </xf>
    <xf numFmtId="44" fontId="12" fillId="0" borderId="0" xfId="0" applyNumberFormat="1" applyFont="1" applyAlignment="1" applyProtection="1">
      <alignment horizontal="left"/>
      <protection locked="0"/>
    </xf>
    <xf numFmtId="0" fontId="4" fillId="3" borderId="40" xfId="0" applyFont="1" applyFill="1" applyBorder="1" applyAlignment="1">
      <alignment horizontal="center" vertical="center"/>
    </xf>
    <xf numFmtId="0" fontId="11" fillId="3" borderId="55" xfId="0" applyFont="1" applyFill="1" applyBorder="1" applyAlignment="1">
      <alignment horizontal="center" vertical="center"/>
    </xf>
    <xf numFmtId="0" fontId="11" fillId="3" borderId="40" xfId="0" applyFont="1" applyFill="1" applyBorder="1" applyAlignment="1">
      <alignment horizontal="center" vertical="center"/>
    </xf>
    <xf numFmtId="44" fontId="12" fillId="0" borderId="109" xfId="0" applyNumberFormat="1" applyFont="1" applyBorder="1" applyProtection="1">
      <protection locked="0"/>
    </xf>
    <xf numFmtId="44" fontId="12" fillId="0" borderId="0" xfId="0" applyNumberFormat="1" applyFont="1" applyProtection="1">
      <protection locked="0"/>
    </xf>
    <xf numFmtId="0" fontId="3" fillId="2" borderId="3" xfId="0" applyFont="1" applyFill="1" applyBorder="1" applyAlignment="1">
      <alignment horizontal="left" wrapText="1"/>
    </xf>
    <xf numFmtId="0" fontId="11" fillId="3" borderId="55" xfId="0" applyFont="1" applyFill="1" applyBorder="1" applyAlignment="1">
      <alignment horizontal="left" vertical="center" wrapText="1"/>
    </xf>
    <xf numFmtId="0" fontId="11" fillId="3" borderId="40" xfId="0" applyFont="1" applyFill="1" applyBorder="1" applyAlignment="1">
      <alignment horizontal="left" vertical="center" wrapText="1"/>
    </xf>
    <xf numFmtId="0" fontId="12" fillId="8" borderId="99" xfId="0" applyFont="1" applyFill="1" applyBorder="1" applyProtection="1">
      <protection locked="0"/>
    </xf>
    <xf numFmtId="0" fontId="12" fillId="8" borderId="0" xfId="0" applyFont="1" applyFill="1" applyProtection="1">
      <protection locked="0"/>
    </xf>
    <xf numFmtId="0" fontId="5" fillId="15" borderId="115" xfId="0" applyFont="1" applyFill="1" applyBorder="1" applyAlignment="1">
      <alignment horizontal="center" vertical="center"/>
    </xf>
    <xf numFmtId="0" fontId="5" fillId="15" borderId="116" xfId="0" applyFont="1" applyFill="1" applyBorder="1" applyAlignment="1">
      <alignment horizontal="center" vertical="center"/>
    </xf>
    <xf numFmtId="0" fontId="5" fillId="15" borderId="107" xfId="0" applyFont="1" applyFill="1" applyBorder="1" applyAlignment="1">
      <alignment horizontal="center" vertical="center"/>
    </xf>
    <xf numFmtId="0" fontId="5" fillId="15" borderId="108" xfId="0" applyFont="1" applyFill="1" applyBorder="1" applyAlignment="1">
      <alignment horizontal="center" vertical="center"/>
    </xf>
    <xf numFmtId="0" fontId="5" fillId="4" borderId="101" xfId="0" applyFont="1" applyFill="1" applyBorder="1" applyAlignment="1">
      <alignment horizontal="center" vertical="center"/>
    </xf>
    <xf numFmtId="0" fontId="5" fillId="4" borderId="102" xfId="0" applyFont="1" applyFill="1" applyBorder="1" applyAlignment="1">
      <alignment horizontal="center" vertical="center"/>
    </xf>
    <xf numFmtId="0" fontId="5" fillId="4" borderId="82"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99"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00"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106" xfId="0" applyFont="1" applyFill="1" applyBorder="1" applyAlignment="1">
      <alignment horizontal="center" vertical="center" wrapText="1"/>
    </xf>
    <xf numFmtId="0" fontId="5" fillId="4" borderId="108" xfId="0" applyFont="1" applyFill="1" applyBorder="1" applyAlignment="1">
      <alignment horizontal="center" vertical="center" wrapText="1"/>
    </xf>
    <xf numFmtId="0" fontId="5" fillId="4" borderId="110" xfId="0" applyFont="1" applyFill="1" applyBorder="1" applyAlignment="1">
      <alignment horizontal="center" vertical="center" wrapText="1"/>
    </xf>
    <xf numFmtId="0" fontId="5" fillId="4" borderId="111" xfId="0" applyFont="1" applyFill="1" applyBorder="1" applyAlignment="1">
      <alignment horizontal="center" vertical="center" wrapText="1"/>
    </xf>
    <xf numFmtId="0" fontId="5" fillId="4" borderId="112" xfId="0" applyFont="1" applyFill="1" applyBorder="1" applyAlignment="1">
      <alignment horizontal="center" vertical="center" wrapText="1"/>
    </xf>
    <xf numFmtId="0" fontId="5" fillId="4" borderId="114" xfId="0" applyFont="1" applyFill="1" applyBorder="1" applyAlignment="1">
      <alignment horizontal="center" vertical="center" wrapText="1"/>
    </xf>
    <xf numFmtId="49" fontId="0" fillId="0" borderId="104" xfId="0" applyNumberFormat="1" applyBorder="1" applyAlignment="1">
      <alignment horizontal="center" vertical="center"/>
    </xf>
    <xf numFmtId="49" fontId="0" fillId="0" borderId="105" xfId="0" applyNumberFormat="1" applyBorder="1" applyAlignment="1">
      <alignment horizontal="center" vertical="center"/>
    </xf>
    <xf numFmtId="44" fontId="6" fillId="7" borderId="109" xfId="2" applyFill="1" applyBorder="1" applyAlignment="1" applyProtection="1">
      <alignment horizontal="center" vertical="center"/>
      <protection locked="0"/>
    </xf>
    <xf numFmtId="44" fontId="6" fillId="7" borderId="111" xfId="2" applyFill="1" applyBorder="1" applyAlignment="1" applyProtection="1">
      <alignment horizontal="center" vertical="center"/>
      <protection locked="0"/>
    </xf>
    <xf numFmtId="0" fontId="5" fillId="27" borderId="112" xfId="0" applyFont="1" applyFill="1" applyBorder="1" applyAlignment="1">
      <alignment horizontal="right" vertical="center"/>
    </xf>
    <xf numFmtId="0" fontId="5" fillId="27" borderId="113" xfId="0" applyFont="1" applyFill="1" applyBorder="1" applyAlignment="1">
      <alignment horizontal="right" vertical="center"/>
    </xf>
    <xf numFmtId="168" fontId="5" fillId="27" borderId="115" xfId="0" applyNumberFormat="1" applyFont="1" applyFill="1" applyBorder="1" applyAlignment="1">
      <alignment horizontal="center" vertical="center"/>
    </xf>
    <xf numFmtId="168" fontId="5" fillId="27" borderId="117" xfId="0" applyNumberFormat="1" applyFont="1" applyFill="1" applyBorder="1" applyAlignment="1">
      <alignment horizontal="center" vertical="center"/>
    </xf>
    <xf numFmtId="0" fontId="5" fillId="22" borderId="69" xfId="0" applyFont="1" applyFill="1" applyBorder="1" applyAlignment="1">
      <alignment horizontal="center" vertical="center" wrapText="1"/>
    </xf>
    <xf numFmtId="0" fontId="5" fillId="22" borderId="70" xfId="0" applyFont="1" applyFill="1" applyBorder="1" applyAlignment="1">
      <alignment horizontal="center" vertical="center" wrapText="1"/>
    </xf>
    <xf numFmtId="0" fontId="5" fillId="22" borderId="71" xfId="0" applyFont="1" applyFill="1" applyBorder="1" applyAlignment="1">
      <alignment horizontal="center" vertical="center" wrapText="1"/>
    </xf>
    <xf numFmtId="0" fontId="5" fillId="19" borderId="0" xfId="0" applyFont="1" applyFill="1" applyAlignment="1">
      <alignment horizontal="center" vertical="center" wrapText="1"/>
    </xf>
    <xf numFmtId="0" fontId="4" fillId="21" borderId="69" xfId="0" applyFont="1" applyFill="1" applyBorder="1" applyAlignment="1">
      <alignment horizontal="center" vertical="center" wrapText="1"/>
    </xf>
    <xf numFmtId="0" fontId="4" fillId="21" borderId="70" xfId="0" applyFont="1" applyFill="1" applyBorder="1" applyAlignment="1">
      <alignment horizontal="center" vertical="center" wrapText="1"/>
    </xf>
    <xf numFmtId="0" fontId="4" fillId="21" borderId="71" xfId="0" applyFont="1" applyFill="1" applyBorder="1" applyAlignment="1">
      <alignment horizontal="center" vertical="center" wrapText="1"/>
    </xf>
    <xf numFmtId="0" fontId="5" fillId="22" borderId="88" xfId="0" applyFont="1" applyFill="1" applyBorder="1" applyAlignment="1">
      <alignment horizontal="center" vertical="center" wrapText="1"/>
    </xf>
    <xf numFmtId="0" fontId="5" fillId="22" borderId="85" xfId="0" applyFont="1" applyFill="1" applyBorder="1" applyAlignment="1">
      <alignment horizontal="center" vertical="center" wrapText="1"/>
    </xf>
    <xf numFmtId="0" fontId="5" fillId="22" borderId="89" xfId="0" applyFont="1" applyFill="1" applyBorder="1" applyAlignment="1">
      <alignment horizontal="center" vertical="center" wrapText="1"/>
    </xf>
    <xf numFmtId="0" fontId="19" fillId="20" borderId="0" xfId="0" applyFont="1" applyFill="1" applyAlignment="1">
      <alignment horizontal="center"/>
    </xf>
    <xf numFmtId="0" fontId="5" fillId="22" borderId="84" xfId="0" applyFont="1" applyFill="1" applyBorder="1" applyAlignment="1">
      <alignment horizontal="center" vertical="center" wrapText="1"/>
    </xf>
    <xf numFmtId="0" fontId="5" fillId="22" borderId="86" xfId="0" applyFont="1" applyFill="1" applyBorder="1" applyAlignment="1">
      <alignment horizontal="center" vertical="center" wrapText="1"/>
    </xf>
    <xf numFmtId="0" fontId="5" fillId="22" borderId="80" xfId="0" applyFont="1" applyFill="1" applyBorder="1" applyAlignment="1">
      <alignment horizontal="center" vertical="center" wrapText="1"/>
    </xf>
    <xf numFmtId="0" fontId="5" fillId="22" borderId="81" xfId="0" applyFont="1" applyFill="1" applyBorder="1" applyAlignment="1">
      <alignment horizontal="center" vertical="center" wrapText="1"/>
    </xf>
    <xf numFmtId="0" fontId="25" fillId="22" borderId="84" xfId="0" applyFont="1" applyFill="1" applyBorder="1" applyAlignment="1">
      <alignment horizontal="center" vertical="center" wrapText="1"/>
    </xf>
    <xf numFmtId="0" fontId="28" fillId="0" borderId="0" xfId="0" applyFont="1" applyAlignment="1" applyProtection="1">
      <alignment horizontal="left" vertical="center" wrapText="1"/>
      <protection locked="0"/>
    </xf>
    <xf numFmtId="0" fontId="28" fillId="0" borderId="0" xfId="0" applyFont="1" applyAlignment="1">
      <alignment horizontal="left" vertical="center" wrapText="1"/>
    </xf>
  </cellXfs>
  <cellStyles count="8">
    <cellStyle name="Hyperlink 2 2" xfId="6" xr:uid="{9AFB3376-D3A4-4139-A344-0AF0BFE56DA3}"/>
    <cellStyle name="Moeda" xfId="1" builtinId="4"/>
    <cellStyle name="Moeda 2" xfId="2" xr:uid="{00000000-0005-0000-0000-000002000000}"/>
    <cellStyle name="Normal" xfId="0" builtinId="0"/>
    <cellStyle name="Normal 2" xfId="7" xr:uid="{A1430343-545C-4DBC-ACC6-9357B9EF9223}"/>
    <cellStyle name="Normal 2 2 2" xfId="5" xr:uid="{30CB43CD-7EFC-48CE-9860-F562BF7364F0}"/>
    <cellStyle name="Porcentagem" xfId="3" builtinId="5"/>
    <cellStyle name="Vírgula"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590550</xdr:colOff>
      <xdr:row>4</xdr:row>
      <xdr:rowOff>57149</xdr:rowOff>
    </xdr:to>
    <xdr:pic>
      <xdr:nvPicPr>
        <xdr:cNvPr id="2" name="Imagem 1">
          <a:extLst>
            <a:ext uri="{FF2B5EF4-FFF2-40B4-BE49-F238E27FC236}">
              <a16:creationId xmlns:a16="http://schemas.microsoft.com/office/drawing/2014/main" id="{A773C4E2-C25B-4DBA-BEFA-570979601848}"/>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257300" cy="1152524"/>
        </a:xfrm>
        <a:prstGeom prst="rect">
          <a:avLst/>
        </a:prstGeom>
        <a:noFill/>
        <a:ln w="9525">
          <a:noFill/>
          <a:miter lim="800000"/>
          <a:headEnd/>
          <a:tailEnd/>
        </a:ln>
      </xdr:spPr>
    </xdr:pic>
    <xdr:clientData/>
  </xdr:twoCellAnchor>
  <xdr:twoCellAnchor editAs="oneCell">
    <xdr:from>
      <xdr:col>3</xdr:col>
      <xdr:colOff>3143250</xdr:colOff>
      <xdr:row>59</xdr:row>
      <xdr:rowOff>359614</xdr:rowOff>
    </xdr:from>
    <xdr:to>
      <xdr:col>6</xdr:col>
      <xdr:colOff>896143</xdr:colOff>
      <xdr:row>65</xdr:row>
      <xdr:rowOff>162504</xdr:rowOff>
    </xdr:to>
    <xdr:pic>
      <xdr:nvPicPr>
        <xdr:cNvPr id="3" name="Imagem 2">
          <a:extLst>
            <a:ext uri="{FF2B5EF4-FFF2-40B4-BE49-F238E27FC236}">
              <a16:creationId xmlns:a16="http://schemas.microsoft.com/office/drawing/2014/main" id="{6C8D3876-D213-462E-80C4-7D36048267C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00" y="15485314"/>
          <a:ext cx="2696368" cy="1203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file:///C:\Temp\Dataprev\Contratos%20-%20Fiscal%20Magallanes\44100.000082.2018.77%20-%20BOMBEIRO%20CIVIL_23.022213.2022_ZP%20CONSERVA&#199;&#195;O\REPACTUACAO\ZP%20Repactua&#231;&#227;o%20DATAPREV%202019%20&#224;%202022\Meu%20Drive\COMERCIAL\VIPPIM%20VIGIL&#194;NCIA\PREG&#213;ES\2022\BRIGADA\MPDFT\1%20-%20PROPOSTA%20MPDFT\2%20-%20Planilha%20de%20custos%20inicial.xlsx?1331F2F8" TargetMode="External"/><Relationship Id="rId1" Type="http://schemas.openxmlformats.org/officeDocument/2006/relationships/externalLinkPath" Target="file:///\\1331F2F8\2%20-%20Planilha%20de%20custos%20inicial.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Meu%20Drive\COMERCIAL\VIPPIM%20VIGIL&#194;NCIA\PREG&#213;ES\2024\BRIGADA\TCU\Planilha%20inicial%20corrigida.xlsx" TargetMode="External"/><Relationship Id="rId1" Type="http://schemas.openxmlformats.org/officeDocument/2006/relationships/externalLinkPath" Target="/Meu%20Drive/COMERCIAL/VIPPIM%20VIGIL&#194;NCIA/PREG&#213;ES/2024/BRIGADA/TCU/Planilha%20inicial%20corrigida.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G:\Meu%20Drive\COMERCIAL\VIPPIM%20VIGIL&#194;NCIA\PREG&#213;ES\2024\BRIGADA\DATAPREV%20EMERGENCIAL\2._Planilha_DATAPREV_Emergencial.xlsx" TargetMode="External"/><Relationship Id="rId1" Type="http://schemas.openxmlformats.org/officeDocument/2006/relationships/externalLinkPath" Target="/Meu%20Drive/COMERCIAL/VIPPIM%20VIGIL&#194;NCIA/PREG&#213;ES/2024/BRIGADA/DATAPREV%20EMERGENCIAL/2._Planilha_DATAPREV_Emergen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POSTOS)"/>
      <sheetName val="DADOS-ESTATISTICOS"/>
      <sheetName val="ENCARGOS-SOCIAIS-E-TRABALHISTAS"/>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posta"/>
      <sheetName val="Resumo de Custos"/>
      <sheetName val="Memória de Cálculo"/>
      <sheetName val="Modelo_de_proposta"/>
      <sheetName val="Salários e benefícios"/>
      <sheetName val="Bombeiro Civil - Líder - SEDE"/>
      <sheetName val="Bombeiro Civil - Líder - ISC"/>
      <sheetName val="Bombeiro Civil - Sede"/>
      <sheetName val="Bombeiro Civil - ISC"/>
      <sheetName val="Bombeiro - Sede - Noturno"/>
      <sheetName val="Bombeiro Civil - ISC - Noturno"/>
      <sheetName val="Bombeiro civil - Plantonista"/>
      <sheetName val="Uniformes"/>
      <sheetName val="Materiais"/>
      <sheetName val="Equip. Brigada"/>
      <sheetName val="Depreciação e manutenção"/>
    </sheetNames>
    <sheetDataSet>
      <sheetData sheetId="0"/>
      <sheetData sheetId="1">
        <row r="5">
          <cell r="I5">
            <v>29661.287966762084</v>
          </cell>
        </row>
      </sheetData>
      <sheetData sheetId="2" refreshError="1"/>
      <sheetData sheetId="3" refreshError="1"/>
      <sheetData sheetId="4">
        <row r="3">
          <cell r="H3" t="str">
            <v>Diurno</v>
          </cell>
        </row>
        <row r="4">
          <cell r="H4" t="str">
            <v>Noturno</v>
          </cell>
        </row>
        <row r="6">
          <cell r="H6" t="str">
            <v>Diária sob demanda</v>
          </cell>
        </row>
        <row r="8">
          <cell r="H8" t="str">
            <v>5x2</v>
          </cell>
        </row>
        <row r="9">
          <cell r="H9" t="str">
            <v>12x36h</v>
          </cell>
        </row>
        <row r="31">
          <cell r="B31" t="str">
            <v>Bombeiro Civil - Líder</v>
          </cell>
        </row>
        <row r="32">
          <cell r="B32" t="str">
            <v>Bombeiro Civil - Sede</v>
          </cell>
        </row>
        <row r="33">
          <cell r="B33" t="str">
            <v>Bombeiro Civil - ISC</v>
          </cell>
        </row>
        <row r="34">
          <cell r="B34" t="str">
            <v>Bombeiro Eventual</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ço_Global"/>
      <sheetName val="Proposta"/>
      <sheetName val="TOTAL IN 05"/>
      <sheetName val="CHEFE BRIG 12X36"/>
      <sheetName val="CHEFE BRIG FOLGUISTA"/>
      <sheetName val="BP 12X36 DIURNO"/>
      <sheetName val="BP DIURNO FOLGUISTA"/>
      <sheetName val="BP 12X36 NOTURNO"/>
      <sheetName val="BP NOTURNO FOLGUISTA"/>
      <sheetName val="RESERVA MENSAL IN 05"/>
      <sheetName val="UNIFORMES"/>
      <sheetName val="EQUIPAMENTOS"/>
      <sheetName val="MATERIAIS"/>
    </sheetNames>
    <sheetDataSet>
      <sheetData sheetId="0"/>
      <sheetData sheetId="1"/>
      <sheetData sheetId="2">
        <row r="6">
          <cell r="B6" t="str">
            <v xml:space="preserve">Chefe de Brigada 12x36 Diurno - Escala: 07h às 19h            </v>
          </cell>
          <cell r="D6" t="str">
            <v>02</v>
          </cell>
        </row>
        <row r="7">
          <cell r="B7" t="str">
            <v xml:space="preserve">Chefe de Brigada Diurno Folguista Escala: 07h às 19h            </v>
          </cell>
          <cell r="D7" t="str">
            <v>01</v>
          </cell>
        </row>
        <row r="8">
          <cell r="B8" t="str">
            <v>Brigadista Particular 12X36 Diurno - Escala: 07h às 19h</v>
          </cell>
          <cell r="D8" t="str">
            <v>02</v>
          </cell>
        </row>
        <row r="9">
          <cell r="B9" t="str">
            <v>Brigadista Particular Diurno Folguista Escala: 07h às 19h</v>
          </cell>
          <cell r="D9" t="str">
            <v>01</v>
          </cell>
        </row>
        <row r="10">
          <cell r="B10" t="str">
            <v>Brigadista Particular 12X36 Noturno - Escala:19h às 07h</v>
          </cell>
          <cell r="D10" t="str">
            <v>02</v>
          </cell>
        </row>
        <row r="11">
          <cell r="D11" t="str">
            <v>01</v>
          </cell>
        </row>
      </sheetData>
      <sheetData sheetId="3"/>
      <sheetData sheetId="4"/>
      <sheetData sheetId="5"/>
      <sheetData sheetId="6"/>
      <sheetData sheetId="7"/>
      <sheetData sheetId="8"/>
      <sheetData sheetId="9"/>
      <sheetData sheetId="10"/>
      <sheetData sheetId="11"/>
      <sheetData sheetId="12"/>
    </sheetDataSet>
  </externalBook>
</externalLink>
</file>

<file path=xl/persons/person.xml><?xml version="1.0" encoding="utf-8"?>
<personList xmlns="http://schemas.microsoft.com/office/spreadsheetml/2018/threadedcomments" xmlns:x="http://schemas.openxmlformats.org/spreadsheetml/2006/main">
  <person displayName="MARIO H B SILVA" id="{8409405B-AF09-48CC-B5AD-1D917CED7A67}" userId="3ab332bc815687d8" providerId="Windows Live"/>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47" dT="2024-01-24T10:31:14.01" personId="{8409405B-AF09-48CC-B5AD-1D917CED7A67}" id="{AC577758-E909-4D59-8441-D57131AF00A3}">
    <text>A fórmula da passagem foi elaborada com a condicionante SE a fim de evitar que este campo apresente valor negativo, distorcendo assim, a estimativa. Caso o desconto de 6% sobre o salário base supere o custo do vale transporte, este campo não apresentará valor algum. Apenas será apresentado valor nesse campo se o custo do vale transporte for maior que o desconto de 6% sobre o salário base.</text>
  </threadedComment>
  <threadedComment ref="C90" dT="2024-01-09T15:07:19.82" personId="{8409405B-AF09-48CC-B5AD-1D917CED7A67}" id="{4F2F7C06-7209-435D-8883-1A42CAE41448}">
    <text xml:space="preserve">Nenhuma empresa especificou quais seriam as outras ausências.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2CB4D-8629-4564-997D-6C12DA90F195}">
  <sheetPr>
    <pageSetUpPr fitToPage="1"/>
  </sheetPr>
  <dimension ref="A1:IL70"/>
  <sheetViews>
    <sheetView showGridLines="0" tabSelected="1" view="pageBreakPreview" topLeftCell="A42" zoomScaleNormal="77" zoomScaleSheetLayoutView="100" workbookViewId="0">
      <selection activeCell="A53" sqref="A53:G53"/>
    </sheetView>
  </sheetViews>
  <sheetFormatPr defaultColWidth="8.7109375" defaultRowHeight="15" x14ac:dyDescent="0.25"/>
  <cols>
    <col min="1" max="1" width="5" style="197" customWidth="1"/>
    <col min="2" max="2" width="3" style="197" customWidth="1"/>
    <col min="3" max="3" width="2" style="197" customWidth="1"/>
    <col min="4" max="4" width="51.42578125" style="197" customWidth="1"/>
    <col min="5" max="5" width="7.5703125" style="197" customWidth="1"/>
    <col min="6" max="6" width="15.140625" style="197" customWidth="1"/>
    <col min="7" max="7" width="14.85546875" style="197" customWidth="1"/>
    <col min="8" max="8" width="14.28515625" style="197" customWidth="1"/>
    <col min="9" max="9" width="11.7109375" style="197" customWidth="1"/>
    <col min="10" max="10" width="14.85546875" style="197" customWidth="1"/>
    <col min="11" max="12" width="18" style="197" customWidth="1"/>
    <col min="13" max="13" width="24.140625" style="197" customWidth="1"/>
    <col min="14" max="14" width="14.85546875" style="197" bestFit="1" customWidth="1"/>
    <col min="15" max="15" width="8.7109375" style="197"/>
    <col min="16" max="16" width="12" style="197" bestFit="1" customWidth="1"/>
    <col min="17" max="16384" width="8.7109375" style="197"/>
  </cols>
  <sheetData>
    <row r="1" spans="1:246" s="191" customFormat="1" ht="15.75" x14ac:dyDescent="0.2">
      <c r="B1" s="192"/>
      <c r="C1" s="192"/>
      <c r="D1" s="192"/>
      <c r="E1" s="192"/>
      <c r="F1" s="192"/>
      <c r="G1" s="192"/>
      <c r="H1" s="192"/>
      <c r="I1" s="192"/>
    </row>
    <row r="2" spans="1:246" s="191" customFormat="1" ht="33.75" x14ac:dyDescent="0.2">
      <c r="A2" s="193"/>
      <c r="B2" s="259" t="s">
        <v>334</v>
      </c>
      <c r="C2" s="259"/>
      <c r="D2" s="259"/>
      <c r="E2" s="259"/>
      <c r="F2" s="259"/>
      <c r="G2" s="259"/>
      <c r="H2" s="259"/>
      <c r="I2" s="259"/>
      <c r="J2" s="259"/>
      <c r="K2" s="259"/>
    </row>
    <row r="3" spans="1:246" s="191" customFormat="1" ht="15.75" x14ac:dyDescent="0.2">
      <c r="A3" s="193"/>
      <c r="B3" s="192"/>
      <c r="C3" s="192"/>
      <c r="D3" s="192"/>
      <c r="E3" s="193"/>
      <c r="F3" s="192"/>
      <c r="G3" s="192"/>
      <c r="H3" s="192"/>
      <c r="I3" s="192"/>
    </row>
    <row r="4" spans="1:246" s="191" customFormat="1" ht="21" customHeight="1" x14ac:dyDescent="0.2">
      <c r="A4" s="193"/>
      <c r="B4" s="192"/>
      <c r="C4" s="192"/>
      <c r="D4" s="192"/>
      <c r="E4" s="193"/>
      <c r="F4" s="192"/>
      <c r="G4" s="192"/>
      <c r="H4" s="192"/>
      <c r="I4" s="192"/>
    </row>
    <row r="5" spans="1:246" s="191" customFormat="1" ht="21" customHeight="1" x14ac:dyDescent="0.2">
      <c r="A5" s="193"/>
      <c r="B5" s="192"/>
      <c r="C5" s="192"/>
      <c r="D5" s="192"/>
      <c r="E5" s="193"/>
      <c r="F5" s="192"/>
      <c r="G5" s="192"/>
      <c r="H5" s="192"/>
      <c r="I5" s="192"/>
    </row>
    <row r="6" spans="1:246" s="191" customFormat="1" ht="15.75" x14ac:dyDescent="0.25">
      <c r="A6" s="260" t="s">
        <v>335</v>
      </c>
      <c r="B6" s="260"/>
      <c r="C6" s="260"/>
      <c r="D6" s="260"/>
      <c r="E6" s="260"/>
      <c r="F6" s="260"/>
      <c r="G6" s="192"/>
      <c r="H6" s="192"/>
      <c r="I6" s="192"/>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4"/>
      <c r="AQ6" s="194"/>
      <c r="AR6" s="194"/>
      <c r="AS6" s="194"/>
      <c r="AT6" s="194"/>
      <c r="AU6" s="194"/>
      <c r="AV6" s="194"/>
      <c r="AW6" s="194"/>
      <c r="AX6" s="194"/>
      <c r="AY6" s="194"/>
      <c r="AZ6" s="194"/>
      <c r="BA6" s="194"/>
      <c r="BB6" s="194"/>
      <c r="BC6" s="194"/>
      <c r="BD6" s="194"/>
      <c r="BE6" s="194"/>
      <c r="BF6" s="194"/>
      <c r="BG6" s="194"/>
      <c r="BH6" s="194"/>
      <c r="BI6" s="194"/>
      <c r="BJ6" s="194"/>
      <c r="BK6" s="194"/>
      <c r="BL6" s="194"/>
      <c r="BM6" s="194"/>
      <c r="BN6" s="194"/>
      <c r="BO6" s="194"/>
      <c r="BP6" s="194"/>
      <c r="BQ6" s="194"/>
      <c r="BR6" s="194"/>
      <c r="BS6" s="194"/>
      <c r="BT6" s="194"/>
      <c r="BU6" s="194"/>
      <c r="BV6" s="194"/>
      <c r="BW6" s="194"/>
      <c r="BX6" s="194"/>
      <c r="BY6" s="194"/>
      <c r="BZ6" s="194"/>
      <c r="CA6" s="194"/>
      <c r="CB6" s="194"/>
      <c r="CC6" s="194"/>
      <c r="CD6" s="194"/>
      <c r="CE6" s="194"/>
      <c r="CF6" s="194"/>
      <c r="CG6" s="194"/>
      <c r="CH6" s="194"/>
      <c r="CI6" s="194"/>
      <c r="CJ6" s="194"/>
      <c r="CK6" s="194"/>
      <c r="CL6" s="194"/>
      <c r="CM6" s="194"/>
      <c r="CN6" s="194"/>
      <c r="CO6" s="194"/>
      <c r="CP6" s="194"/>
      <c r="CQ6" s="194"/>
      <c r="CR6" s="194"/>
      <c r="CS6" s="194"/>
      <c r="CT6" s="194"/>
      <c r="CU6" s="194"/>
      <c r="CV6" s="194"/>
      <c r="CW6" s="194"/>
      <c r="CX6" s="194"/>
      <c r="CY6" s="194"/>
      <c r="CZ6" s="194"/>
      <c r="DA6" s="194"/>
      <c r="DB6" s="194"/>
      <c r="DC6" s="194"/>
      <c r="DD6" s="194"/>
      <c r="DE6" s="194"/>
      <c r="DF6" s="194"/>
      <c r="DG6" s="194"/>
      <c r="DH6" s="194"/>
      <c r="DI6" s="194"/>
      <c r="DJ6" s="194"/>
      <c r="DK6" s="194"/>
      <c r="DL6" s="194"/>
      <c r="DM6" s="194"/>
      <c r="DN6" s="194"/>
      <c r="DO6" s="194"/>
      <c r="DP6" s="194"/>
      <c r="DQ6" s="194"/>
      <c r="DR6" s="194"/>
      <c r="DS6" s="194"/>
      <c r="DT6" s="194"/>
      <c r="DU6" s="194"/>
      <c r="DV6" s="194"/>
      <c r="DW6" s="194"/>
      <c r="DX6" s="194"/>
      <c r="DY6" s="194"/>
      <c r="DZ6" s="194"/>
      <c r="EA6" s="194"/>
      <c r="EB6" s="194"/>
      <c r="EC6" s="194"/>
      <c r="ED6" s="194"/>
      <c r="EE6" s="194"/>
      <c r="EF6" s="194"/>
      <c r="EG6" s="194"/>
      <c r="EH6" s="194"/>
      <c r="EI6" s="194"/>
      <c r="EJ6" s="194"/>
      <c r="EK6" s="194"/>
      <c r="EL6" s="194"/>
      <c r="EM6" s="194"/>
      <c r="EN6" s="194"/>
      <c r="EO6" s="194"/>
      <c r="EP6" s="194"/>
      <c r="EQ6" s="194"/>
      <c r="ER6" s="194"/>
      <c r="ES6" s="194"/>
      <c r="ET6" s="194"/>
      <c r="EU6" s="194"/>
      <c r="EV6" s="194"/>
      <c r="EW6" s="194"/>
      <c r="EX6" s="194"/>
      <c r="EY6" s="194"/>
      <c r="EZ6" s="194"/>
      <c r="FA6" s="194"/>
      <c r="FB6" s="194"/>
      <c r="FC6" s="194"/>
      <c r="FD6" s="194"/>
      <c r="FE6" s="194"/>
      <c r="FF6" s="194"/>
      <c r="FG6" s="194"/>
      <c r="FH6" s="194"/>
      <c r="FI6" s="194"/>
      <c r="FJ6" s="194"/>
      <c r="FK6" s="194"/>
      <c r="FL6" s="194"/>
      <c r="FM6" s="194"/>
      <c r="FN6" s="194"/>
      <c r="FO6" s="194"/>
      <c r="FP6" s="194"/>
      <c r="FQ6" s="194"/>
      <c r="FR6" s="194"/>
      <c r="FS6" s="194"/>
      <c r="FT6" s="194"/>
      <c r="FU6" s="194"/>
      <c r="FV6" s="194"/>
      <c r="FW6" s="194"/>
      <c r="FX6" s="194"/>
      <c r="FY6" s="194"/>
      <c r="FZ6" s="194"/>
      <c r="GA6" s="194"/>
      <c r="GB6" s="194"/>
      <c r="GC6" s="194"/>
      <c r="GD6" s="194"/>
      <c r="GE6" s="194"/>
      <c r="GF6" s="194"/>
      <c r="GG6" s="194"/>
      <c r="GH6" s="194"/>
      <c r="GI6" s="194"/>
      <c r="GJ6" s="194"/>
      <c r="GK6" s="194"/>
      <c r="GL6" s="194"/>
      <c r="GM6" s="194"/>
      <c r="GN6" s="194"/>
      <c r="GO6" s="194"/>
      <c r="GP6" s="194"/>
      <c r="GQ6" s="194"/>
      <c r="GR6" s="194"/>
      <c r="GS6" s="194"/>
      <c r="GT6" s="194"/>
      <c r="GU6" s="194"/>
      <c r="GV6" s="194"/>
      <c r="GW6" s="194"/>
      <c r="GX6" s="194"/>
      <c r="GY6" s="194"/>
      <c r="GZ6" s="194"/>
      <c r="HA6" s="194"/>
      <c r="HB6" s="194"/>
      <c r="HC6" s="194"/>
      <c r="HD6" s="194"/>
      <c r="HE6" s="194"/>
      <c r="HF6" s="194"/>
      <c r="HG6" s="194"/>
      <c r="HH6" s="194"/>
      <c r="HI6" s="194"/>
      <c r="HJ6" s="194"/>
      <c r="HK6" s="194"/>
      <c r="HL6" s="194"/>
      <c r="HM6" s="194"/>
      <c r="HN6" s="194"/>
      <c r="HO6" s="194"/>
      <c r="HP6" s="194"/>
      <c r="HQ6" s="194"/>
      <c r="HR6" s="194"/>
      <c r="HS6" s="194"/>
      <c r="HT6" s="194"/>
      <c r="HU6" s="194"/>
      <c r="HV6" s="194"/>
      <c r="HW6" s="194"/>
      <c r="HX6" s="194"/>
      <c r="HY6" s="194"/>
      <c r="HZ6" s="194"/>
      <c r="IA6" s="194"/>
      <c r="IB6" s="194"/>
      <c r="IC6" s="194"/>
      <c r="ID6" s="194"/>
      <c r="IE6" s="194"/>
      <c r="IF6" s="194"/>
      <c r="IG6" s="194"/>
      <c r="IH6" s="194"/>
      <c r="II6" s="194"/>
      <c r="IJ6" s="194"/>
      <c r="IK6" s="194"/>
      <c r="IL6" s="194"/>
    </row>
    <row r="7" spans="1:246" s="191" customFormat="1" ht="18" x14ac:dyDescent="0.25">
      <c r="A7" s="261" t="s">
        <v>336</v>
      </c>
      <c r="B7" s="261"/>
      <c r="C7" s="261"/>
      <c r="D7" s="261"/>
      <c r="E7" s="261"/>
      <c r="F7" s="261"/>
      <c r="G7" s="192"/>
      <c r="H7" s="192"/>
      <c r="I7" s="192"/>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c r="AX7" s="194"/>
      <c r="AY7" s="194"/>
      <c r="AZ7" s="194"/>
      <c r="BA7" s="194"/>
      <c r="BB7" s="194"/>
      <c r="BC7" s="194"/>
      <c r="BD7" s="194"/>
      <c r="BE7" s="194"/>
      <c r="BF7" s="194"/>
      <c r="BG7" s="194"/>
      <c r="BH7" s="194"/>
      <c r="BI7" s="194"/>
      <c r="BJ7" s="194"/>
      <c r="BK7" s="194"/>
      <c r="BL7" s="194"/>
      <c r="BM7" s="194"/>
      <c r="BN7" s="194"/>
      <c r="BO7" s="194"/>
      <c r="BP7" s="194"/>
      <c r="BQ7" s="194"/>
      <c r="BR7" s="194"/>
      <c r="BS7" s="194"/>
      <c r="BT7" s="194"/>
      <c r="BU7" s="194"/>
      <c r="BV7" s="194"/>
      <c r="BW7" s="194"/>
      <c r="BX7" s="194"/>
      <c r="BY7" s="194"/>
      <c r="BZ7" s="194"/>
      <c r="CA7" s="194"/>
      <c r="CB7" s="194"/>
      <c r="CC7" s="194"/>
      <c r="CD7" s="194"/>
      <c r="CE7" s="194"/>
      <c r="CF7" s="194"/>
      <c r="CG7" s="194"/>
      <c r="CH7" s="194"/>
      <c r="CI7" s="194"/>
      <c r="CJ7" s="194"/>
      <c r="CK7" s="194"/>
      <c r="CL7" s="194"/>
      <c r="CM7" s="194"/>
      <c r="CN7" s="194"/>
      <c r="CO7" s="194"/>
      <c r="CP7" s="194"/>
      <c r="CQ7" s="194"/>
      <c r="CR7" s="194"/>
      <c r="CS7" s="194"/>
      <c r="CT7" s="194"/>
      <c r="CU7" s="194"/>
      <c r="CV7" s="194"/>
      <c r="CW7" s="194"/>
      <c r="CX7" s="194"/>
      <c r="CY7" s="194"/>
      <c r="CZ7" s="194"/>
      <c r="DA7" s="194"/>
      <c r="DB7" s="194"/>
      <c r="DC7" s="194"/>
      <c r="DD7" s="194"/>
      <c r="DE7" s="194"/>
      <c r="DF7" s="194"/>
      <c r="DG7" s="194"/>
      <c r="DH7" s="194"/>
      <c r="DI7" s="194"/>
      <c r="DJ7" s="194"/>
      <c r="DK7" s="194"/>
      <c r="DL7" s="194"/>
      <c r="DM7" s="194"/>
      <c r="DN7" s="194"/>
      <c r="DO7" s="194"/>
      <c r="DP7" s="194"/>
      <c r="DQ7" s="194"/>
      <c r="DR7" s="194"/>
      <c r="DS7" s="194"/>
      <c r="DT7" s="194"/>
      <c r="DU7" s="194"/>
      <c r="DV7" s="194"/>
      <c r="DW7" s="194"/>
      <c r="DX7" s="194"/>
      <c r="DY7" s="194"/>
      <c r="DZ7" s="194"/>
      <c r="EA7" s="194"/>
      <c r="EB7" s="194"/>
      <c r="EC7" s="194"/>
      <c r="ED7" s="194"/>
      <c r="EE7" s="194"/>
      <c r="EF7" s="194"/>
      <c r="EG7" s="194"/>
      <c r="EH7" s="194"/>
      <c r="EI7" s="194"/>
      <c r="EJ7" s="194"/>
      <c r="EK7" s="194"/>
      <c r="EL7" s="194"/>
      <c r="EM7" s="194"/>
      <c r="EN7" s="194"/>
      <c r="EO7" s="194"/>
      <c r="EP7" s="194"/>
      <c r="EQ7" s="194"/>
      <c r="ER7" s="194"/>
      <c r="ES7" s="194"/>
      <c r="ET7" s="194"/>
      <c r="EU7" s="194"/>
      <c r="EV7" s="194"/>
      <c r="EW7" s="194"/>
      <c r="EX7" s="194"/>
      <c r="EY7" s="194"/>
      <c r="EZ7" s="194"/>
      <c r="FA7" s="194"/>
      <c r="FB7" s="194"/>
      <c r="FC7" s="194"/>
      <c r="FD7" s="194"/>
      <c r="FE7" s="194"/>
      <c r="FF7" s="194"/>
      <c r="FG7" s="194"/>
      <c r="FH7" s="194"/>
      <c r="FI7" s="194"/>
      <c r="FJ7" s="194"/>
      <c r="FK7" s="194"/>
      <c r="FL7" s="194"/>
      <c r="FM7" s="194"/>
      <c r="FN7" s="194"/>
      <c r="FO7" s="194"/>
      <c r="FP7" s="194"/>
      <c r="FQ7" s="194"/>
      <c r="FR7" s="194"/>
      <c r="FS7" s="194"/>
      <c r="FT7" s="194"/>
      <c r="FU7" s="194"/>
      <c r="FV7" s="194"/>
      <c r="FW7" s="194"/>
      <c r="FX7" s="194"/>
      <c r="FY7" s="194"/>
      <c r="FZ7" s="194"/>
      <c r="GA7" s="194"/>
      <c r="GB7" s="194"/>
      <c r="GC7" s="194"/>
      <c r="GD7" s="194"/>
      <c r="GE7" s="194"/>
      <c r="GF7" s="194"/>
      <c r="GG7" s="194"/>
      <c r="GH7" s="194"/>
      <c r="GI7" s="194"/>
      <c r="GJ7" s="194"/>
      <c r="GK7" s="194"/>
      <c r="GL7" s="194"/>
      <c r="GM7" s="194"/>
      <c r="GN7" s="194"/>
      <c r="GO7" s="194"/>
      <c r="GP7" s="194"/>
      <c r="GQ7" s="194"/>
      <c r="GR7" s="194"/>
      <c r="GS7" s="194"/>
      <c r="GT7" s="194"/>
      <c r="GU7" s="194"/>
      <c r="GV7" s="194"/>
      <c r="GW7" s="194"/>
      <c r="GX7" s="194"/>
      <c r="GY7" s="194"/>
      <c r="GZ7" s="194"/>
      <c r="HA7" s="194"/>
      <c r="HB7" s="194"/>
      <c r="HC7" s="194"/>
      <c r="HD7" s="194"/>
      <c r="HE7" s="194"/>
      <c r="HF7" s="194"/>
      <c r="HG7" s="194"/>
      <c r="HH7" s="194"/>
      <c r="HI7" s="194"/>
      <c r="HJ7" s="194"/>
      <c r="HK7" s="194"/>
      <c r="HL7" s="194"/>
      <c r="HM7" s="194"/>
      <c r="HN7" s="194"/>
      <c r="HO7" s="194"/>
      <c r="HP7" s="194"/>
      <c r="HQ7" s="194"/>
      <c r="HR7" s="194"/>
      <c r="HS7" s="194"/>
      <c r="HT7" s="194"/>
      <c r="HU7" s="194"/>
      <c r="HV7" s="194"/>
      <c r="HW7" s="194"/>
      <c r="HX7" s="194"/>
      <c r="HY7" s="194"/>
      <c r="HZ7" s="194"/>
      <c r="IA7" s="194"/>
      <c r="IB7" s="194"/>
      <c r="IC7" s="194"/>
      <c r="ID7" s="194"/>
      <c r="IE7" s="194"/>
      <c r="IF7" s="194"/>
      <c r="IG7" s="194"/>
      <c r="IH7" s="194"/>
      <c r="II7" s="194"/>
      <c r="IJ7" s="194"/>
      <c r="IK7" s="194"/>
      <c r="IL7" s="194"/>
    </row>
    <row r="8" spans="1:246" s="191" customFormat="1" ht="15.75" x14ac:dyDescent="0.2">
      <c r="A8" s="262" t="s">
        <v>337</v>
      </c>
      <c r="B8" s="262"/>
      <c r="C8" s="262"/>
      <c r="D8" s="262"/>
      <c r="E8" s="262"/>
      <c r="F8" s="262"/>
      <c r="G8" s="192"/>
      <c r="H8" s="192"/>
      <c r="I8" s="192"/>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c r="AX8" s="195"/>
      <c r="AY8" s="195"/>
      <c r="AZ8" s="195"/>
      <c r="BA8" s="195"/>
      <c r="BB8" s="195"/>
      <c r="BC8" s="195"/>
      <c r="BD8" s="195"/>
      <c r="BE8" s="195"/>
      <c r="BF8" s="195"/>
      <c r="BG8" s="195"/>
      <c r="BH8" s="195"/>
      <c r="BI8" s="195"/>
      <c r="BJ8" s="195"/>
      <c r="BK8" s="195"/>
      <c r="BL8" s="195"/>
      <c r="BM8" s="195"/>
      <c r="BN8" s="195"/>
      <c r="BO8" s="195"/>
      <c r="BP8" s="195"/>
      <c r="BQ8" s="195"/>
      <c r="BR8" s="195"/>
      <c r="BS8" s="195"/>
      <c r="BT8" s="195"/>
      <c r="BU8" s="195"/>
      <c r="BV8" s="195"/>
      <c r="BW8" s="195"/>
      <c r="BX8" s="195"/>
      <c r="BY8" s="195"/>
      <c r="BZ8" s="195"/>
      <c r="CA8" s="195"/>
      <c r="CB8" s="195"/>
      <c r="CC8" s="195"/>
      <c r="CD8" s="195"/>
      <c r="CE8" s="195"/>
      <c r="CF8" s="195"/>
      <c r="CG8" s="195"/>
      <c r="CH8" s="195"/>
      <c r="CI8" s="195"/>
      <c r="CJ8" s="195"/>
      <c r="CK8" s="195"/>
      <c r="CL8" s="195"/>
      <c r="CM8" s="195"/>
      <c r="CN8" s="195"/>
      <c r="CO8" s="195"/>
      <c r="CP8" s="195"/>
      <c r="CQ8" s="195"/>
      <c r="CR8" s="195"/>
      <c r="CS8" s="195"/>
      <c r="CT8" s="195"/>
      <c r="CU8" s="195"/>
      <c r="CV8" s="195"/>
      <c r="CW8" s="195"/>
      <c r="CX8" s="195"/>
      <c r="CY8" s="195"/>
      <c r="CZ8" s="195"/>
      <c r="DA8" s="195"/>
      <c r="DB8" s="195"/>
      <c r="DC8" s="195"/>
      <c r="DD8" s="195"/>
      <c r="DE8" s="195"/>
      <c r="DF8" s="195"/>
      <c r="DG8" s="195"/>
      <c r="DH8" s="195"/>
      <c r="DI8" s="195"/>
      <c r="DJ8" s="195"/>
      <c r="DK8" s="195"/>
      <c r="DL8" s="195"/>
      <c r="DM8" s="195"/>
      <c r="DN8" s="195"/>
      <c r="DO8" s="195"/>
      <c r="DP8" s="195"/>
      <c r="DQ8" s="195"/>
      <c r="DR8" s="195"/>
      <c r="DS8" s="195"/>
      <c r="DT8" s="195"/>
      <c r="DU8" s="195"/>
      <c r="DV8" s="195"/>
      <c r="DW8" s="195"/>
      <c r="DX8" s="195"/>
      <c r="DY8" s="195"/>
      <c r="DZ8" s="195"/>
      <c r="EA8" s="195"/>
      <c r="EB8" s="195"/>
      <c r="EC8" s="195"/>
      <c r="ED8" s="195"/>
      <c r="EE8" s="195"/>
      <c r="EF8" s="195"/>
      <c r="EG8" s="195"/>
      <c r="EH8" s="195"/>
      <c r="EI8" s="195"/>
      <c r="EJ8" s="195"/>
      <c r="EK8" s="195"/>
      <c r="EL8" s="195"/>
      <c r="EM8" s="195"/>
      <c r="EN8" s="195"/>
      <c r="EO8" s="195"/>
      <c r="EP8" s="195"/>
      <c r="EQ8" s="195"/>
      <c r="ER8" s="195"/>
      <c r="ES8" s="195"/>
      <c r="ET8" s="195"/>
      <c r="EU8" s="195"/>
      <c r="EV8" s="195"/>
      <c r="EW8" s="195"/>
      <c r="EX8" s="195"/>
      <c r="EY8" s="195"/>
      <c r="EZ8" s="195"/>
      <c r="FA8" s="195"/>
      <c r="FB8" s="195"/>
      <c r="FC8" s="195"/>
      <c r="FD8" s="195"/>
      <c r="FE8" s="195"/>
      <c r="FF8" s="195"/>
      <c r="FG8" s="195"/>
      <c r="FH8" s="195"/>
      <c r="FI8" s="195"/>
      <c r="FJ8" s="195"/>
      <c r="FK8" s="195"/>
      <c r="FL8" s="195"/>
      <c r="FM8" s="195"/>
      <c r="FN8" s="195"/>
      <c r="FO8" s="195"/>
      <c r="FP8" s="195"/>
      <c r="FQ8" s="195"/>
      <c r="FR8" s="195"/>
      <c r="FS8" s="195"/>
      <c r="FT8" s="195"/>
      <c r="FU8" s="195"/>
      <c r="FV8" s="195"/>
      <c r="FW8" s="195"/>
      <c r="FX8" s="195"/>
      <c r="FY8" s="195"/>
      <c r="FZ8" s="195"/>
      <c r="GA8" s="195"/>
      <c r="GB8" s="195"/>
      <c r="GC8" s="195"/>
      <c r="GD8" s="195"/>
      <c r="GE8" s="195"/>
      <c r="GF8" s="195"/>
      <c r="GG8" s="195"/>
      <c r="GH8" s="195"/>
      <c r="GI8" s="195"/>
      <c r="GJ8" s="195"/>
      <c r="GK8" s="195"/>
      <c r="GL8" s="195"/>
      <c r="GM8" s="195"/>
      <c r="GN8" s="195"/>
      <c r="GO8" s="195"/>
      <c r="GP8" s="195"/>
      <c r="GQ8" s="195"/>
      <c r="GR8" s="195"/>
      <c r="GS8" s="195"/>
      <c r="GT8" s="195"/>
      <c r="GU8" s="195"/>
      <c r="GV8" s="195"/>
      <c r="GW8" s="195"/>
      <c r="GX8" s="195"/>
      <c r="GY8" s="195"/>
      <c r="GZ8" s="195"/>
      <c r="HA8" s="195"/>
      <c r="HB8" s="195"/>
      <c r="HC8" s="195"/>
      <c r="HD8" s="195"/>
      <c r="HE8" s="195"/>
      <c r="HF8" s="195"/>
      <c r="HG8" s="195"/>
      <c r="HH8" s="195"/>
      <c r="HI8" s="195"/>
      <c r="HJ8" s="195"/>
      <c r="HK8" s="195"/>
      <c r="HL8" s="195"/>
      <c r="HM8" s="195"/>
      <c r="HN8" s="195"/>
      <c r="HO8" s="195"/>
      <c r="HP8" s="195"/>
      <c r="HQ8" s="195"/>
      <c r="HR8" s="195"/>
      <c r="HS8" s="195"/>
      <c r="HT8" s="195"/>
      <c r="HU8" s="195"/>
      <c r="HV8" s="195"/>
      <c r="HW8" s="195"/>
      <c r="HX8" s="195"/>
      <c r="HY8" s="195"/>
      <c r="HZ8" s="195"/>
      <c r="IA8" s="195"/>
      <c r="IB8" s="195"/>
      <c r="IC8" s="195"/>
      <c r="ID8" s="195"/>
      <c r="IE8" s="195"/>
      <c r="IF8" s="195"/>
      <c r="IG8" s="195"/>
      <c r="IH8" s="195"/>
      <c r="II8" s="195"/>
      <c r="IJ8" s="195"/>
      <c r="IK8" s="195"/>
      <c r="IL8" s="195"/>
    </row>
    <row r="9" spans="1:246" s="191" customFormat="1" ht="15.75" x14ac:dyDescent="0.2">
      <c r="A9" s="192"/>
      <c r="B9" s="192"/>
      <c r="C9" s="192"/>
      <c r="D9" s="192"/>
      <c r="E9" s="192"/>
      <c r="G9" s="192"/>
      <c r="H9" s="192"/>
      <c r="I9" s="192"/>
    </row>
    <row r="10" spans="1:246" s="191" customFormat="1" ht="15.75" customHeight="1" x14ac:dyDescent="0.2">
      <c r="A10" s="263" t="s">
        <v>338</v>
      </c>
      <c r="B10" s="263"/>
      <c r="C10" s="263"/>
      <c r="D10" s="263"/>
      <c r="E10" s="263"/>
      <c r="F10" s="263"/>
      <c r="G10" s="263"/>
      <c r="H10" s="263"/>
      <c r="I10" s="263"/>
      <c r="J10" s="263"/>
      <c r="K10" s="263"/>
    </row>
    <row r="11" spans="1:246" s="191" customFormat="1" ht="15.75" customHeight="1" x14ac:dyDescent="0.2">
      <c r="A11" s="263" t="s">
        <v>392</v>
      </c>
      <c r="B11" s="263"/>
      <c r="C11" s="263"/>
      <c r="D11" s="263"/>
      <c r="E11" s="263"/>
      <c r="F11" s="263"/>
      <c r="G11" s="263"/>
      <c r="H11" s="263"/>
      <c r="I11" s="263"/>
      <c r="J11" s="263"/>
      <c r="K11" s="263"/>
    </row>
    <row r="12" spans="1:246" s="191" customFormat="1" ht="24.75" customHeight="1" x14ac:dyDescent="0.2">
      <c r="A12" s="264" t="s">
        <v>339</v>
      </c>
      <c r="B12" s="264"/>
      <c r="C12" s="264"/>
      <c r="D12" s="264"/>
      <c r="E12" s="264"/>
      <c r="G12" s="192"/>
      <c r="H12" s="192"/>
      <c r="I12" s="192"/>
    </row>
    <row r="13" spans="1:246" s="191" customFormat="1" ht="70.5" customHeight="1" x14ac:dyDescent="0.2">
      <c r="A13" s="265" t="s">
        <v>391</v>
      </c>
      <c r="B13" s="265"/>
      <c r="C13" s="265"/>
      <c r="D13" s="265"/>
      <c r="E13" s="265"/>
      <c r="F13" s="265"/>
      <c r="G13" s="265"/>
      <c r="H13" s="265"/>
      <c r="I13" s="265"/>
      <c r="J13" s="265"/>
      <c r="K13" s="265"/>
    </row>
    <row r="14" spans="1:246" s="191" customFormat="1" ht="9.75" customHeight="1" x14ac:dyDescent="0.2">
      <c r="A14" s="225"/>
      <c r="B14" s="225"/>
      <c r="C14" s="225"/>
      <c r="D14" s="225"/>
      <c r="E14" s="225"/>
      <c r="F14" s="265"/>
      <c r="G14" s="265"/>
      <c r="H14" s="265"/>
      <c r="I14" s="265"/>
    </row>
    <row r="15" spans="1:246" x14ac:dyDescent="0.25">
      <c r="A15" s="266" t="s">
        <v>340</v>
      </c>
      <c r="B15" s="266"/>
      <c r="C15" s="266"/>
      <c r="D15" s="266"/>
      <c r="E15" s="266"/>
      <c r="F15" s="266"/>
      <c r="G15" s="266"/>
      <c r="H15" s="266"/>
      <c r="I15" s="266"/>
      <c r="J15" s="266"/>
      <c r="K15" s="266"/>
      <c r="L15" s="196"/>
      <c r="M15" s="196"/>
    </row>
    <row r="16" spans="1:246" x14ac:dyDescent="0.25">
      <c r="A16" s="254" t="s">
        <v>341</v>
      </c>
      <c r="B16" s="254"/>
      <c r="C16" s="254"/>
      <c r="D16" s="254"/>
      <c r="E16" s="254"/>
      <c r="F16" s="254"/>
      <c r="G16" s="254"/>
      <c r="H16" s="254"/>
      <c r="I16" s="254"/>
      <c r="J16" s="258" t="s">
        <v>399</v>
      </c>
      <c r="K16" s="258"/>
      <c r="L16" s="196"/>
      <c r="M16" s="196"/>
    </row>
    <row r="17" spans="1:16" x14ac:dyDescent="0.25">
      <c r="A17" s="254" t="s">
        <v>342</v>
      </c>
      <c r="B17" s="254"/>
      <c r="C17" s="254"/>
      <c r="D17" s="254"/>
      <c r="E17" s="254"/>
      <c r="F17" s="254"/>
      <c r="G17" s="254"/>
      <c r="H17" s="254"/>
      <c r="I17" s="254"/>
      <c r="J17" s="254"/>
      <c r="K17" s="254"/>
      <c r="L17" s="196"/>
      <c r="M17" s="196"/>
    </row>
    <row r="18" spans="1:16" x14ac:dyDescent="0.25">
      <c r="A18" s="254" t="s">
        <v>343</v>
      </c>
      <c r="B18" s="254"/>
      <c r="C18" s="254"/>
      <c r="D18" s="254"/>
      <c r="E18" s="254"/>
      <c r="F18" s="254"/>
      <c r="G18" s="254"/>
      <c r="H18" s="254"/>
      <c r="I18" s="254"/>
      <c r="J18" s="254"/>
      <c r="K18" s="254"/>
      <c r="L18" s="196"/>
      <c r="M18" s="196"/>
    </row>
    <row r="19" spans="1:16" x14ac:dyDescent="0.25">
      <c r="A19" s="254" t="s">
        <v>344</v>
      </c>
      <c r="B19" s="254"/>
      <c r="C19" s="254"/>
      <c r="D19" s="254"/>
      <c r="E19" s="254"/>
      <c r="F19" s="254"/>
      <c r="G19" s="254"/>
      <c r="H19" s="254"/>
      <c r="I19" s="254"/>
      <c r="J19" s="254"/>
      <c r="K19" s="254"/>
      <c r="L19" s="196"/>
      <c r="M19" s="196"/>
    </row>
    <row r="20" spans="1:16" x14ac:dyDescent="0.25">
      <c r="A20" s="254" t="s">
        <v>345</v>
      </c>
      <c r="B20" s="254"/>
      <c r="C20" s="254"/>
      <c r="D20" s="254"/>
      <c r="E20" s="254"/>
      <c r="F20" s="254"/>
      <c r="G20" s="254"/>
      <c r="H20" s="254"/>
      <c r="I20" s="254"/>
      <c r="J20" s="254"/>
      <c r="K20" s="254"/>
      <c r="L20" s="196"/>
      <c r="M20" s="196"/>
    </row>
    <row r="21" spans="1:16" x14ac:dyDescent="0.25">
      <c r="A21" s="254" t="s">
        <v>346</v>
      </c>
      <c r="B21" s="254"/>
      <c r="C21" s="254"/>
      <c r="D21" s="254"/>
      <c r="E21" s="254"/>
      <c r="F21" s="254"/>
      <c r="G21" s="254"/>
      <c r="H21" s="254"/>
      <c r="I21" s="254"/>
      <c r="J21" s="254"/>
      <c r="K21" s="254"/>
      <c r="L21" s="196"/>
      <c r="M21" s="196"/>
    </row>
    <row r="22" spans="1:16" ht="23.25" customHeight="1" x14ac:dyDescent="0.25">
      <c r="A22" s="255" t="s">
        <v>347</v>
      </c>
      <c r="B22" s="255"/>
      <c r="C22" s="255"/>
      <c r="D22" s="255"/>
      <c r="E22" s="255"/>
      <c r="F22" s="255"/>
      <c r="G22" s="255"/>
      <c r="H22" s="255"/>
      <c r="I22" s="255"/>
      <c r="J22" s="255"/>
      <c r="K22" s="255"/>
      <c r="L22" s="196"/>
      <c r="M22" s="196"/>
    </row>
    <row r="23" spans="1:16" ht="57.75" customHeight="1" x14ac:dyDescent="0.25">
      <c r="A23" s="256" t="s">
        <v>348</v>
      </c>
      <c r="B23" s="257" t="s">
        <v>194</v>
      </c>
      <c r="C23" s="257"/>
      <c r="D23" s="256" t="s">
        <v>349</v>
      </c>
      <c r="E23" s="257" t="s">
        <v>350</v>
      </c>
      <c r="F23" s="198" t="s">
        <v>351</v>
      </c>
      <c r="G23" s="198" t="s">
        <v>352</v>
      </c>
      <c r="H23" s="198" t="s">
        <v>353</v>
      </c>
      <c r="I23" s="198" t="s">
        <v>354</v>
      </c>
      <c r="J23" s="198" t="s">
        <v>355</v>
      </c>
      <c r="K23" s="198" t="s">
        <v>356</v>
      </c>
      <c r="L23" s="253"/>
      <c r="M23" s="253"/>
    </row>
    <row r="24" spans="1:16" x14ac:dyDescent="0.25">
      <c r="A24" s="256"/>
      <c r="B24" s="257"/>
      <c r="C24" s="257"/>
      <c r="D24" s="256"/>
      <c r="E24" s="257"/>
      <c r="F24" s="198" t="s">
        <v>357</v>
      </c>
      <c r="G24" s="198" t="s">
        <v>358</v>
      </c>
      <c r="H24" s="198" t="s">
        <v>359</v>
      </c>
      <c r="I24" s="198" t="s">
        <v>360</v>
      </c>
      <c r="J24" s="198" t="s">
        <v>361</v>
      </c>
      <c r="K24" s="198" t="s">
        <v>390</v>
      </c>
      <c r="L24" s="253"/>
      <c r="M24" s="253"/>
    </row>
    <row r="25" spans="1:16" ht="26.25" customHeight="1" x14ac:dyDescent="0.25">
      <c r="A25" s="267">
        <v>1</v>
      </c>
      <c r="B25" s="252">
        <v>1</v>
      </c>
      <c r="C25" s="252"/>
      <c r="D25" s="199" t="str">
        <f>'[3]TOTAL IN 05'!B6</f>
        <v xml:space="preserve">Chefe de Brigada 12x36 Diurno - Escala: 07h às 19h            </v>
      </c>
      <c r="E25" s="200" t="s">
        <v>362</v>
      </c>
      <c r="F25" s="201">
        <f>'CHEFE BRIG 12X36'!D150</f>
        <v>12527.726295383422</v>
      </c>
      <c r="G25" s="202" t="str">
        <f>'[3]TOTAL IN 05'!D6</f>
        <v>02</v>
      </c>
      <c r="H25" s="203">
        <f t="shared" ref="H25:H30" si="0">F25*G25</f>
        <v>25055.452590766843</v>
      </c>
      <c r="I25" s="129" t="s">
        <v>125</v>
      </c>
      <c r="J25" s="203">
        <f t="shared" ref="J25:J30" si="1">H25*I25</f>
        <v>25055.452590766843</v>
      </c>
      <c r="K25" s="203">
        <f t="shared" ref="K25:K30" si="2">J25*60</f>
        <v>1503327.1554460106</v>
      </c>
      <c r="L25" s="196"/>
      <c r="M25" s="204"/>
      <c r="N25" s="204"/>
      <c r="O25" s="205"/>
      <c r="P25" s="204"/>
    </row>
    <row r="26" spans="1:16" ht="26.25" customHeight="1" x14ac:dyDescent="0.25">
      <c r="A26" s="267"/>
      <c r="B26" s="252">
        <v>2</v>
      </c>
      <c r="C26" s="252"/>
      <c r="D26" s="199" t="str">
        <f>'[3]TOTAL IN 05'!B7</f>
        <v xml:space="preserve">Chefe de Brigada Diurno Folguista Escala: 07h às 19h            </v>
      </c>
      <c r="E26" s="200" t="s">
        <v>362</v>
      </c>
      <c r="F26" s="201">
        <f>'CHEFE BRIG FOLGUISTA'!D150</f>
        <v>3276.7173092406224</v>
      </c>
      <c r="G26" s="202" t="str">
        <f>'[3]TOTAL IN 05'!D7</f>
        <v>01</v>
      </c>
      <c r="H26" s="203">
        <f t="shared" si="0"/>
        <v>3276.7173092406224</v>
      </c>
      <c r="I26" s="129" t="s">
        <v>125</v>
      </c>
      <c r="J26" s="203">
        <f t="shared" si="1"/>
        <v>3276.7173092406224</v>
      </c>
      <c r="K26" s="203">
        <f t="shared" si="2"/>
        <v>196603.03855443734</v>
      </c>
      <c r="L26" s="196"/>
      <c r="M26" s="206"/>
      <c r="O26" s="205"/>
    </row>
    <row r="27" spans="1:16" ht="26.25" customHeight="1" x14ac:dyDescent="0.25">
      <c r="A27" s="267"/>
      <c r="B27" s="252">
        <v>3</v>
      </c>
      <c r="C27" s="252"/>
      <c r="D27" s="199" t="str">
        <f>'[3]TOTAL IN 05'!B8</f>
        <v>Brigadista Particular 12X36 Diurno - Escala: 07h às 19h</v>
      </c>
      <c r="E27" s="200" t="s">
        <v>362</v>
      </c>
      <c r="F27" s="201">
        <f>'BP 12X36 DIURNO'!D150</f>
        <v>10303.995621148208</v>
      </c>
      <c r="G27" s="202" t="str">
        <f>'[3]TOTAL IN 05'!D8</f>
        <v>02</v>
      </c>
      <c r="H27" s="203">
        <f t="shared" si="0"/>
        <v>20607.991242296415</v>
      </c>
      <c r="I27" s="136" t="s">
        <v>128</v>
      </c>
      <c r="J27" s="203">
        <f t="shared" si="1"/>
        <v>82431.964969185661</v>
      </c>
      <c r="K27" s="203">
        <f t="shared" si="2"/>
        <v>4945917.8981511397</v>
      </c>
      <c r="L27" s="207"/>
      <c r="M27" s="208"/>
      <c r="O27" s="205"/>
    </row>
    <row r="28" spans="1:16" ht="26.25" customHeight="1" x14ac:dyDescent="0.25">
      <c r="A28" s="267"/>
      <c r="B28" s="252">
        <v>4</v>
      </c>
      <c r="C28" s="252"/>
      <c r="D28" s="199" t="str">
        <f>'[3]TOTAL IN 05'!B9</f>
        <v>Brigadista Particular Diurno Folguista Escala: 07h às 19h</v>
      </c>
      <c r="E28" s="200" t="s">
        <v>362</v>
      </c>
      <c r="F28" s="201">
        <f>'BP DIURNO FOLGUISTA'!D150</f>
        <v>2749.0866674448116</v>
      </c>
      <c r="G28" s="202" t="str">
        <f>'[3]TOTAL IN 05'!D9</f>
        <v>01</v>
      </c>
      <c r="H28" s="203">
        <f t="shared" si="0"/>
        <v>2749.0866674448116</v>
      </c>
      <c r="I28" s="136" t="s">
        <v>125</v>
      </c>
      <c r="J28" s="203">
        <f t="shared" si="1"/>
        <v>2749.0866674448116</v>
      </c>
      <c r="K28" s="203">
        <f t="shared" si="2"/>
        <v>164945.2000466887</v>
      </c>
      <c r="L28" s="207"/>
      <c r="M28" s="208"/>
      <c r="O28" s="205"/>
    </row>
    <row r="29" spans="1:16" ht="26.25" customHeight="1" x14ac:dyDescent="0.25">
      <c r="A29" s="267"/>
      <c r="B29" s="252">
        <v>5</v>
      </c>
      <c r="C29" s="252"/>
      <c r="D29" s="199" t="str">
        <f>'[3]TOTAL IN 05'!B9</f>
        <v>Brigadista Particular Diurno Folguista Escala: 07h às 19h</v>
      </c>
      <c r="E29" s="200" t="s">
        <v>362</v>
      </c>
      <c r="F29" s="201">
        <f>'BP 12X36 NOTURNO'!D150</f>
        <v>11172.375072202656</v>
      </c>
      <c r="G29" s="202" t="str">
        <f>'[3]TOTAL IN 05'!D10</f>
        <v>02</v>
      </c>
      <c r="H29" s="203">
        <f t="shared" si="0"/>
        <v>22344.750144405312</v>
      </c>
      <c r="I29" s="136" t="s">
        <v>124</v>
      </c>
      <c r="J29" s="203">
        <f t="shared" si="1"/>
        <v>44689.500288810625</v>
      </c>
      <c r="K29" s="203">
        <f t="shared" si="2"/>
        <v>2681370.0173286377</v>
      </c>
      <c r="L29" s="207"/>
      <c r="M29" s="208"/>
      <c r="O29" s="205"/>
    </row>
    <row r="30" spans="1:16" ht="26.25" customHeight="1" x14ac:dyDescent="0.25">
      <c r="A30" s="267"/>
      <c r="B30" s="252">
        <v>6</v>
      </c>
      <c r="C30" s="252"/>
      <c r="D30" s="199" t="str">
        <f>'[3]TOTAL IN 05'!B10</f>
        <v>Brigadista Particular 12X36 Noturno - Escala:19h às 07h</v>
      </c>
      <c r="E30" s="200" t="s">
        <v>362</v>
      </c>
      <c r="F30" s="201">
        <f>'BP NOTURNO FOLGUISTA'!D150</f>
        <v>2817.7747973330975</v>
      </c>
      <c r="G30" s="202" t="str">
        <f>'[3]TOTAL IN 05'!D11</f>
        <v>01</v>
      </c>
      <c r="H30" s="203">
        <f t="shared" si="0"/>
        <v>2817.7747973330975</v>
      </c>
      <c r="I30" s="136" t="s">
        <v>125</v>
      </c>
      <c r="J30" s="203">
        <f t="shared" si="1"/>
        <v>2817.7747973330975</v>
      </c>
      <c r="K30" s="203">
        <f t="shared" si="2"/>
        <v>169066.48783998584</v>
      </c>
      <c r="L30" s="207"/>
      <c r="M30" s="208"/>
      <c r="O30" s="205"/>
    </row>
    <row r="31" spans="1:16" x14ac:dyDescent="0.25">
      <c r="A31" s="251" t="s">
        <v>199</v>
      </c>
      <c r="B31" s="251"/>
      <c r="C31" s="251"/>
      <c r="D31" s="251"/>
      <c r="E31" s="251"/>
      <c r="F31" s="251"/>
      <c r="G31" s="251"/>
      <c r="H31" s="251"/>
      <c r="I31" s="251"/>
      <c r="J31" s="209">
        <f>SUM(J25:J30)</f>
        <v>161020.49662278165</v>
      </c>
      <c r="K31" s="210">
        <f>SUM(K25:K30)</f>
        <v>9661229.7973668985</v>
      </c>
      <c r="L31" s="208"/>
      <c r="M31" s="207"/>
    </row>
    <row r="32" spans="1:16" x14ac:dyDescent="0.25">
      <c r="A32" s="251" t="s">
        <v>363</v>
      </c>
      <c r="B32" s="251"/>
      <c r="C32" s="251"/>
      <c r="D32" s="251"/>
      <c r="E32" s="251"/>
      <c r="F32" s="251"/>
      <c r="G32" s="251"/>
      <c r="H32" s="251"/>
      <c r="I32" s="251"/>
      <c r="J32" s="209">
        <f>EQUIPAMENTOS!F55</f>
        <v>202.21666666666667</v>
      </c>
      <c r="K32" s="210">
        <f>J32</f>
        <v>202.21666666666667</v>
      </c>
      <c r="L32" s="196"/>
      <c r="M32" s="207"/>
    </row>
    <row r="33" spans="1:13" x14ac:dyDescent="0.25">
      <c r="A33" s="251" t="s">
        <v>389</v>
      </c>
      <c r="B33" s="251"/>
      <c r="C33" s="251"/>
      <c r="D33" s="251"/>
      <c r="E33" s="251"/>
      <c r="F33" s="251"/>
      <c r="G33" s="251"/>
      <c r="H33" s="251"/>
      <c r="I33" s="251"/>
      <c r="J33" s="209">
        <f>'TOTAL IN 05'!C18</f>
        <v>33.333333333333336</v>
      </c>
      <c r="K33" s="210">
        <v>2000</v>
      </c>
      <c r="L33" s="196"/>
      <c r="M33" s="207"/>
    </row>
    <row r="34" spans="1:13" x14ac:dyDescent="0.25">
      <c r="A34" s="251" t="s">
        <v>364</v>
      </c>
      <c r="B34" s="251"/>
      <c r="C34" s="251"/>
      <c r="D34" s="251"/>
      <c r="E34" s="251"/>
      <c r="F34" s="251"/>
      <c r="G34" s="251"/>
      <c r="H34" s="251"/>
      <c r="I34" s="251"/>
      <c r="J34" s="209">
        <f>MATERIAIS!F31</f>
        <v>2570</v>
      </c>
      <c r="K34" s="210">
        <f>J34</f>
        <v>2570</v>
      </c>
      <c r="L34" s="196"/>
      <c r="M34" s="207"/>
    </row>
    <row r="35" spans="1:13" x14ac:dyDescent="0.25">
      <c r="A35" s="251" t="s">
        <v>365</v>
      </c>
      <c r="B35" s="251"/>
      <c r="C35" s="251"/>
      <c r="D35" s="251"/>
      <c r="E35" s="251"/>
      <c r="F35" s="251"/>
      <c r="G35" s="251"/>
      <c r="H35" s="251"/>
      <c r="I35" s="251"/>
      <c r="J35" s="209">
        <f>SUM(J31:J34)</f>
        <v>163826.04662278167</v>
      </c>
      <c r="K35" s="210">
        <f>'TOTAL IN 05'!D30:D30</f>
        <v>9829563</v>
      </c>
      <c r="L35" s="208"/>
      <c r="M35" s="207"/>
    </row>
    <row r="36" spans="1:13" x14ac:dyDescent="0.25">
      <c r="A36" s="231" t="s">
        <v>401</v>
      </c>
      <c r="B36" s="232"/>
      <c r="C36" s="232"/>
      <c r="D36" s="232"/>
      <c r="E36" s="232"/>
      <c r="F36" s="232"/>
      <c r="G36" s="232"/>
      <c r="H36" s="232"/>
      <c r="I36" s="232"/>
      <c r="J36" s="232"/>
      <c r="K36" s="232"/>
      <c r="L36" s="208"/>
      <c r="M36" s="207"/>
    </row>
    <row r="37" spans="1:13" s="223" customFormat="1" ht="8.25" customHeight="1" x14ac:dyDescent="0.25">
      <c r="A37" s="219"/>
      <c r="B37" s="220"/>
      <c r="C37" s="220"/>
      <c r="D37" s="220"/>
      <c r="E37" s="220"/>
      <c r="F37" s="220"/>
      <c r="G37" s="220"/>
      <c r="H37" s="220"/>
      <c r="I37" s="220"/>
      <c r="J37" s="220"/>
      <c r="K37" s="220"/>
      <c r="L37" s="221"/>
      <c r="M37" s="222"/>
    </row>
    <row r="38" spans="1:13" s="191" customFormat="1" ht="18" customHeight="1" x14ac:dyDescent="0.2">
      <c r="A38" s="242" t="s">
        <v>366</v>
      </c>
      <c r="B38" s="243"/>
      <c r="C38" s="243"/>
      <c r="D38" s="243"/>
      <c r="E38" s="243"/>
      <c r="F38" s="243"/>
      <c r="G38" s="243"/>
      <c r="H38" s="243"/>
      <c r="I38" s="243"/>
      <c r="J38" s="243"/>
      <c r="K38" s="243"/>
    </row>
    <row r="39" spans="1:13" s="191" customFormat="1" ht="21" customHeight="1" x14ac:dyDescent="0.2">
      <c r="A39" s="249" t="s">
        <v>367</v>
      </c>
      <c r="B39" s="250"/>
      <c r="C39" s="250"/>
      <c r="D39" s="250"/>
      <c r="E39" s="250"/>
      <c r="F39" s="250"/>
      <c r="G39" s="250"/>
      <c r="H39" s="250" t="s">
        <v>368</v>
      </c>
      <c r="I39" s="250"/>
      <c r="J39" s="250"/>
      <c r="K39" s="250"/>
    </row>
    <row r="40" spans="1:13" s="191" customFormat="1" ht="33.75" customHeight="1" x14ac:dyDescent="0.2">
      <c r="A40" s="233" t="s">
        <v>369</v>
      </c>
      <c r="B40" s="234"/>
      <c r="C40" s="234"/>
      <c r="D40" s="234"/>
      <c r="E40" s="234"/>
      <c r="F40" s="234"/>
      <c r="G40" s="234"/>
      <c r="H40" s="234" t="s">
        <v>370</v>
      </c>
      <c r="I40" s="234"/>
      <c r="J40" s="234"/>
      <c r="K40" s="234"/>
    </row>
    <row r="41" spans="1:13" s="191" customFormat="1" ht="18" customHeight="1" x14ac:dyDescent="0.2">
      <c r="A41" s="242" t="s">
        <v>371</v>
      </c>
      <c r="B41" s="243"/>
      <c r="C41" s="243"/>
      <c r="D41" s="243"/>
      <c r="E41" s="243"/>
      <c r="F41" s="243"/>
      <c r="G41" s="243"/>
      <c r="H41" s="243"/>
      <c r="I41" s="243"/>
      <c r="J41" s="243"/>
      <c r="K41" s="243"/>
    </row>
    <row r="42" spans="1:13" s="191" customFormat="1" ht="33.75" customHeight="1" x14ac:dyDescent="0.2">
      <c r="A42" s="242" t="s">
        <v>372</v>
      </c>
      <c r="B42" s="243"/>
      <c r="C42" s="243"/>
      <c r="D42" s="243"/>
      <c r="E42" s="243"/>
      <c r="F42" s="243"/>
      <c r="G42" s="243"/>
      <c r="H42" s="243"/>
      <c r="I42" s="243"/>
      <c r="J42" s="243"/>
      <c r="K42" s="243"/>
    </row>
    <row r="43" spans="1:13" s="191" customFormat="1" ht="18" customHeight="1" x14ac:dyDescent="0.2">
      <c r="A43" s="242" t="s">
        <v>373</v>
      </c>
      <c r="B43" s="243"/>
      <c r="C43" s="243"/>
      <c r="D43" s="243"/>
      <c r="E43" s="243"/>
      <c r="F43" s="243"/>
      <c r="G43" s="243"/>
      <c r="H43" s="243"/>
      <c r="I43" s="243"/>
      <c r="J43" s="243"/>
      <c r="K43" s="243"/>
    </row>
    <row r="44" spans="1:13" s="191" customFormat="1" ht="17.100000000000001" customHeight="1" x14ac:dyDescent="0.2">
      <c r="A44" s="249" t="s">
        <v>374</v>
      </c>
      <c r="B44" s="250"/>
      <c r="C44" s="250"/>
      <c r="D44" s="250"/>
      <c r="E44" s="250"/>
      <c r="F44" s="250"/>
      <c r="G44" s="250"/>
      <c r="H44" s="211"/>
      <c r="I44" s="211"/>
      <c r="J44" s="212"/>
      <c r="K44" s="212"/>
    </row>
    <row r="45" spans="1:13" s="191" customFormat="1" ht="17.100000000000001" customHeight="1" x14ac:dyDescent="0.2">
      <c r="A45" s="246" t="s">
        <v>375</v>
      </c>
      <c r="B45" s="240"/>
      <c r="C45" s="240"/>
      <c r="D45" s="240"/>
      <c r="E45" s="240"/>
      <c r="F45" s="240"/>
      <c r="G45" s="240"/>
      <c r="H45" s="213"/>
      <c r="I45" s="213"/>
    </row>
    <row r="46" spans="1:13" s="191" customFormat="1" ht="17.100000000000001" customHeight="1" x14ac:dyDescent="0.2">
      <c r="A46" s="246" t="s">
        <v>376</v>
      </c>
      <c r="B46" s="240"/>
      <c r="C46" s="240"/>
      <c r="D46" s="240"/>
      <c r="E46" s="240"/>
      <c r="F46" s="240"/>
      <c r="G46" s="240"/>
      <c r="H46" s="248" t="s">
        <v>377</v>
      </c>
      <c r="I46" s="248"/>
      <c r="J46" s="248"/>
      <c r="K46" s="248"/>
    </row>
    <row r="47" spans="1:13" s="191" customFormat="1" ht="17.100000000000001" customHeight="1" x14ac:dyDescent="0.2">
      <c r="A47" s="246" t="s">
        <v>378</v>
      </c>
      <c r="B47" s="240"/>
      <c r="C47" s="240"/>
      <c r="D47" s="240"/>
      <c r="E47" s="240"/>
      <c r="F47" s="240"/>
      <c r="G47" s="240"/>
      <c r="H47" s="248" t="s">
        <v>379</v>
      </c>
      <c r="I47" s="248"/>
      <c r="J47" s="248"/>
      <c r="K47" s="248"/>
    </row>
    <row r="48" spans="1:13" s="191" customFormat="1" ht="17.100000000000001" customHeight="1" x14ac:dyDescent="0.2">
      <c r="A48" s="246" t="s">
        <v>380</v>
      </c>
      <c r="B48" s="240"/>
      <c r="C48" s="240"/>
      <c r="D48" s="240"/>
      <c r="E48" s="240"/>
      <c r="F48" s="240"/>
      <c r="G48" s="240"/>
      <c r="H48" s="248" t="s">
        <v>381</v>
      </c>
      <c r="I48" s="248"/>
      <c r="J48" s="248"/>
      <c r="K48" s="248"/>
    </row>
    <row r="49" spans="1:11" s="191" customFormat="1" ht="17.100000000000001" customHeight="1" x14ac:dyDescent="0.2">
      <c r="A49" s="233" t="s">
        <v>382</v>
      </c>
      <c r="B49" s="234"/>
      <c r="C49" s="234"/>
      <c r="D49" s="234"/>
      <c r="E49" s="234"/>
      <c r="F49" s="234"/>
      <c r="G49" s="234"/>
      <c r="H49" s="241" t="s">
        <v>383</v>
      </c>
      <c r="I49" s="241"/>
      <c r="J49" s="241"/>
      <c r="K49" s="241"/>
    </row>
    <row r="50" spans="1:11" s="191" customFormat="1" ht="18" customHeight="1" x14ac:dyDescent="0.2">
      <c r="A50" s="242" t="s">
        <v>384</v>
      </c>
      <c r="B50" s="243"/>
      <c r="C50" s="243"/>
      <c r="D50" s="243"/>
      <c r="E50" s="243"/>
      <c r="F50" s="243"/>
      <c r="G50" s="243"/>
      <c r="H50" s="243"/>
      <c r="I50" s="243"/>
      <c r="J50" s="243"/>
      <c r="K50" s="243"/>
    </row>
    <row r="51" spans="1:11" s="191" customFormat="1" ht="17.100000000000001" customHeight="1" x14ac:dyDescent="0.2">
      <c r="A51" s="244" t="s">
        <v>385</v>
      </c>
      <c r="B51" s="245"/>
      <c r="C51" s="245"/>
      <c r="D51" s="245"/>
      <c r="E51" s="245"/>
      <c r="F51" s="245"/>
      <c r="G51" s="245"/>
      <c r="H51" s="245"/>
      <c r="I51" s="245"/>
      <c r="J51" s="245"/>
      <c r="K51" s="245"/>
    </row>
    <row r="52" spans="1:11" s="191" customFormat="1" ht="17.100000000000001" customHeight="1" x14ac:dyDescent="0.2">
      <c r="A52" s="246" t="s">
        <v>404</v>
      </c>
      <c r="B52" s="240"/>
      <c r="C52" s="240"/>
      <c r="D52" s="240"/>
      <c r="E52" s="240"/>
      <c r="F52" s="240"/>
      <c r="G52" s="240"/>
      <c r="H52" s="247" t="s">
        <v>405</v>
      </c>
      <c r="I52" s="247"/>
      <c r="J52" s="247"/>
      <c r="K52" s="247"/>
    </row>
    <row r="53" spans="1:11" s="191" customFormat="1" ht="17.100000000000001" customHeight="1" x14ac:dyDescent="0.2">
      <c r="A53" s="233" t="s">
        <v>406</v>
      </c>
      <c r="B53" s="234"/>
      <c r="C53" s="234"/>
      <c r="D53" s="234"/>
      <c r="E53" s="234"/>
      <c r="F53" s="234"/>
      <c r="G53" s="234"/>
      <c r="H53" s="235"/>
      <c r="I53" s="236"/>
      <c r="J53" s="214"/>
      <c r="K53" s="214"/>
    </row>
    <row r="54" spans="1:11" s="191" customFormat="1" ht="29.25" customHeight="1" x14ac:dyDescent="0.2">
      <c r="A54" s="237" t="s">
        <v>386</v>
      </c>
      <c r="B54" s="238"/>
      <c r="C54" s="238"/>
      <c r="D54" s="238"/>
      <c r="E54" s="238"/>
      <c r="F54" s="238"/>
      <c r="G54" s="238"/>
      <c r="H54" s="238"/>
      <c r="I54" s="238"/>
      <c r="J54" s="238"/>
      <c r="K54" s="238"/>
    </row>
    <row r="55" spans="1:11" s="215" customFormat="1" ht="35.25" customHeight="1" x14ac:dyDescent="0.2">
      <c r="A55" s="239" t="s">
        <v>397</v>
      </c>
      <c r="B55" s="239"/>
      <c r="C55" s="239"/>
      <c r="D55" s="239"/>
      <c r="E55" s="239"/>
      <c r="F55" s="239"/>
      <c r="G55" s="239"/>
      <c r="H55" s="239"/>
      <c r="I55" s="239"/>
      <c r="J55" s="239"/>
      <c r="K55" s="239"/>
    </row>
    <row r="56" spans="1:11" s="218" customFormat="1" ht="30.75" customHeight="1" x14ac:dyDescent="0.2">
      <c r="A56" s="240" t="s">
        <v>398</v>
      </c>
      <c r="B56" s="240"/>
      <c r="C56" s="240"/>
      <c r="D56" s="240"/>
      <c r="E56" s="240"/>
      <c r="F56" s="240"/>
      <c r="G56" s="240"/>
      <c r="H56" s="240"/>
      <c r="I56" s="240"/>
      <c r="J56" s="240"/>
      <c r="K56" s="240"/>
    </row>
    <row r="57" spans="1:11" s="218" customFormat="1" ht="60.75" customHeight="1" x14ac:dyDescent="0.2">
      <c r="A57" s="229" t="s">
        <v>400</v>
      </c>
      <c r="B57" s="229"/>
      <c r="C57" s="229"/>
      <c r="D57" s="229"/>
      <c r="E57" s="229"/>
      <c r="F57" s="229"/>
      <c r="G57" s="229"/>
      <c r="H57" s="229"/>
      <c r="I57" s="229"/>
      <c r="J57" s="229"/>
      <c r="K57" s="229"/>
    </row>
    <row r="58" spans="1:11" s="218" customFormat="1" ht="48" customHeight="1" x14ac:dyDescent="0.2">
      <c r="A58" s="230" t="s">
        <v>402</v>
      </c>
      <c r="B58" s="230"/>
      <c r="C58" s="230"/>
      <c r="D58" s="230"/>
      <c r="E58" s="230"/>
      <c r="F58" s="230"/>
      <c r="G58" s="230"/>
      <c r="H58" s="230"/>
      <c r="I58" s="230"/>
      <c r="J58" s="230"/>
      <c r="K58" s="230"/>
    </row>
    <row r="59" spans="1:11" s="218" customFormat="1" ht="30.75" customHeight="1" x14ac:dyDescent="0.2">
      <c r="A59" s="240" t="s">
        <v>403</v>
      </c>
      <c r="B59" s="240"/>
      <c r="C59" s="240"/>
      <c r="D59" s="240"/>
      <c r="E59" s="240"/>
      <c r="F59" s="240"/>
      <c r="G59" s="240"/>
      <c r="H59" s="240"/>
      <c r="I59" s="240"/>
      <c r="J59" s="240"/>
      <c r="K59" s="240"/>
    </row>
    <row r="60" spans="1:11" s="215" customFormat="1" ht="31.5" customHeight="1" x14ac:dyDescent="0.2">
      <c r="A60" s="224" t="s">
        <v>393</v>
      </c>
      <c r="B60" s="224"/>
      <c r="C60" s="224"/>
      <c r="D60" s="224"/>
      <c r="E60" s="224"/>
      <c r="F60" s="224"/>
      <c r="G60" s="224"/>
      <c r="H60" s="224"/>
      <c r="I60" s="224"/>
      <c r="J60" s="224"/>
      <c r="K60" s="224"/>
    </row>
    <row r="61" spans="1:11" s="191" customFormat="1" ht="15.75" x14ac:dyDescent="0.2">
      <c r="A61" s="225"/>
      <c r="B61" s="225"/>
      <c r="C61" s="225"/>
      <c r="D61" s="225"/>
      <c r="E61" s="225"/>
      <c r="G61" s="192"/>
      <c r="H61" s="192"/>
      <c r="I61" s="192"/>
    </row>
    <row r="62" spans="1:11" s="191" customFormat="1" ht="15.75" x14ac:dyDescent="0.2">
      <c r="A62" s="224"/>
      <c r="B62" s="224"/>
      <c r="C62" s="224"/>
      <c r="D62" s="224"/>
      <c r="E62" s="224"/>
      <c r="F62" s="224"/>
      <c r="G62" s="192"/>
      <c r="H62" s="192"/>
      <c r="I62" s="192"/>
    </row>
    <row r="63" spans="1:11" s="191" customFormat="1" ht="15.75" x14ac:dyDescent="0.2">
      <c r="A63" s="224"/>
      <c r="B63" s="224"/>
      <c r="C63" s="224"/>
      <c r="D63" s="224"/>
      <c r="E63" s="224"/>
      <c r="F63" s="224"/>
      <c r="G63" s="192"/>
      <c r="H63" s="192"/>
      <c r="I63" s="192"/>
    </row>
    <row r="64" spans="1:11" s="191" customFormat="1" ht="15.75" x14ac:dyDescent="0.2">
      <c r="A64" s="224"/>
      <c r="B64" s="224"/>
      <c r="C64" s="224"/>
      <c r="D64" s="224"/>
      <c r="E64" s="224"/>
      <c r="F64" s="224"/>
      <c r="G64" s="192"/>
      <c r="H64" s="192"/>
      <c r="I64" s="192"/>
    </row>
    <row r="65" spans="1:12" s="191" customFormat="1" ht="15.75" x14ac:dyDescent="0.2">
      <c r="A65" s="224"/>
      <c r="B65" s="224"/>
      <c r="C65" s="224"/>
      <c r="D65" s="224"/>
      <c r="E65" s="224"/>
      <c r="F65" s="224"/>
      <c r="G65" s="192"/>
      <c r="H65" s="192"/>
      <c r="I65" s="192"/>
    </row>
    <row r="66" spans="1:12" s="191" customFormat="1" ht="15.75" x14ac:dyDescent="0.2">
      <c r="A66" s="192"/>
      <c r="B66" s="192"/>
      <c r="C66" s="192"/>
      <c r="D66" s="192"/>
      <c r="E66" s="192"/>
      <c r="G66" s="192"/>
      <c r="H66" s="192"/>
      <c r="I66" s="192"/>
    </row>
    <row r="67" spans="1:12" s="191" customFormat="1" ht="15.75" x14ac:dyDescent="0.2">
      <c r="A67" s="192"/>
      <c r="B67" s="192"/>
      <c r="C67" s="192"/>
      <c r="D67" s="192"/>
      <c r="E67" s="192"/>
      <c r="F67" s="192"/>
      <c r="G67" s="192"/>
      <c r="H67" s="192"/>
      <c r="I67" s="192"/>
    </row>
    <row r="68" spans="1:12" hidden="1" x14ac:dyDescent="0.25">
      <c r="B68" s="226" t="s">
        <v>387</v>
      </c>
      <c r="C68" s="226"/>
      <c r="D68" s="216" t="s">
        <v>388</v>
      </c>
      <c r="E68" s="227" t="e">
        <f>#REF!/3</f>
        <v>#REF!</v>
      </c>
      <c r="F68" s="228"/>
      <c r="G68" s="228"/>
      <c r="H68" s="228"/>
      <c r="I68" s="228"/>
      <c r="J68" s="228"/>
      <c r="K68" s="228"/>
    </row>
    <row r="70" spans="1:12" x14ac:dyDescent="0.25">
      <c r="L70" s="217"/>
    </row>
  </sheetData>
  <mergeCells count="73">
    <mergeCell ref="A59:K59"/>
    <mergeCell ref="A16:I16"/>
    <mergeCell ref="J16:K16"/>
    <mergeCell ref="B2:K2"/>
    <mergeCell ref="A6:F6"/>
    <mergeCell ref="A7:F7"/>
    <mergeCell ref="A8:F8"/>
    <mergeCell ref="A10:K10"/>
    <mergeCell ref="A11:K11"/>
    <mergeCell ref="A12:E12"/>
    <mergeCell ref="A13:K13"/>
    <mergeCell ref="A14:E14"/>
    <mergeCell ref="F14:I14"/>
    <mergeCell ref="A15:K15"/>
    <mergeCell ref="A25:A30"/>
    <mergeCell ref="B25:C25"/>
    <mergeCell ref="M23:M24"/>
    <mergeCell ref="A17:K17"/>
    <mergeCell ref="A18:K18"/>
    <mergeCell ref="A19:K19"/>
    <mergeCell ref="A20:K20"/>
    <mergeCell ref="A21:K21"/>
    <mergeCell ref="A22:K22"/>
    <mergeCell ref="A23:A24"/>
    <mergeCell ref="B23:C24"/>
    <mergeCell ref="D23:D24"/>
    <mergeCell ref="E23:E24"/>
    <mergeCell ref="L23:L24"/>
    <mergeCell ref="B26:C26"/>
    <mergeCell ref="B27:C27"/>
    <mergeCell ref="B28:C28"/>
    <mergeCell ref="B29:C29"/>
    <mergeCell ref="B30:C30"/>
    <mergeCell ref="A44:G44"/>
    <mergeCell ref="A31:I31"/>
    <mergeCell ref="A32:I32"/>
    <mergeCell ref="A34:I34"/>
    <mergeCell ref="A35:I35"/>
    <mergeCell ref="A38:K38"/>
    <mergeCell ref="A39:G39"/>
    <mergeCell ref="H39:K39"/>
    <mergeCell ref="A40:G40"/>
    <mergeCell ref="H40:K40"/>
    <mergeCell ref="A41:K41"/>
    <mergeCell ref="A42:K42"/>
    <mergeCell ref="A43:K43"/>
    <mergeCell ref="A33:I33"/>
    <mergeCell ref="H46:K46"/>
    <mergeCell ref="A47:G47"/>
    <mergeCell ref="H47:K47"/>
    <mergeCell ref="A48:G48"/>
    <mergeCell ref="H48:K48"/>
    <mergeCell ref="A57:K57"/>
    <mergeCell ref="A58:K58"/>
    <mergeCell ref="A36:K36"/>
    <mergeCell ref="A53:G53"/>
    <mergeCell ref="H53:I53"/>
    <mergeCell ref="A54:K54"/>
    <mergeCell ref="A55:K55"/>
    <mergeCell ref="A56:K56"/>
    <mergeCell ref="A49:G49"/>
    <mergeCell ref="H49:K49"/>
    <mergeCell ref="A50:K50"/>
    <mergeCell ref="A51:K51"/>
    <mergeCell ref="A52:G52"/>
    <mergeCell ref="H52:K52"/>
    <mergeCell ref="A45:G45"/>
    <mergeCell ref="A46:G46"/>
    <mergeCell ref="A60:K60"/>
    <mergeCell ref="A61:E61"/>
    <mergeCell ref="A62:F65"/>
    <mergeCell ref="B68:C68"/>
    <mergeCell ref="E68:K68"/>
  </mergeCells>
  <pageMargins left="0.23622047244094491" right="0.23622047244094491" top="0.74803149606299213" bottom="0.74803149606299213" header="0.31496062992125984" footer="0.31496062992125984"/>
  <pageSetup paperSize="9" scale="63" fitToHeight="0" orientation="portrait" r:id="rId1"/>
  <rowBreaks count="1" manualBreakCount="1">
    <brk id="53" max="10" man="1"/>
  </rowBreaks>
  <colBreaks count="1" manualBreakCount="1">
    <brk id="11" max="1048575" man="1"/>
  </colBreaks>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EA4E1-28A5-46E5-97FB-192EC433EA5A}">
  <sheetPr>
    <pageSetUpPr fitToPage="1"/>
  </sheetPr>
  <dimension ref="A1:H22"/>
  <sheetViews>
    <sheetView showGridLines="0" topLeftCell="B1" workbookViewId="0">
      <selection activeCell="G6" sqref="G6:H6"/>
    </sheetView>
  </sheetViews>
  <sheetFormatPr defaultColWidth="9.140625" defaultRowHeight="12.75" x14ac:dyDescent="0.2"/>
  <cols>
    <col min="1" max="1" width="9.140625" style="42"/>
    <col min="2" max="2" width="32.5703125" style="42" customWidth="1"/>
    <col min="3" max="3" width="11.7109375" style="42" customWidth="1"/>
    <col min="4" max="4" width="13.42578125" style="42" bestFit="1" customWidth="1"/>
    <col min="5" max="5" width="12.85546875" style="42" customWidth="1"/>
    <col min="6" max="6" width="12.28515625" style="42" bestFit="1" customWidth="1"/>
    <col min="7" max="7" width="13.28515625" style="42" customWidth="1"/>
    <col min="8" max="8" width="13" style="42" customWidth="1"/>
    <col min="9" max="9" width="19.7109375" style="42" customWidth="1"/>
    <col min="10" max="10" width="17.42578125" style="42" customWidth="1"/>
    <col min="11" max="11" width="17" style="42" bestFit="1" customWidth="1"/>
    <col min="12" max="12" width="17.42578125" style="42" customWidth="1"/>
    <col min="13" max="13" width="18.42578125" style="42" customWidth="1"/>
    <col min="14" max="16384" width="9.140625" style="42"/>
  </cols>
  <sheetData>
    <row r="1" spans="2:8" ht="13.5" thickBot="1" x14ac:dyDescent="0.25">
      <c r="B1" s="363" t="s">
        <v>133</v>
      </c>
      <c r="C1" s="364"/>
      <c r="D1" s="364"/>
      <c r="E1" s="364"/>
      <c r="F1" s="364"/>
      <c r="G1" s="365"/>
      <c r="H1" s="366"/>
    </row>
    <row r="2" spans="2:8" ht="19.5" customHeight="1" thickBot="1" x14ac:dyDescent="0.25">
      <c r="B2" s="367" t="s">
        <v>134</v>
      </c>
      <c r="C2" s="369" t="s">
        <v>135</v>
      </c>
      <c r="D2" s="370"/>
      <c r="E2" s="373" t="s">
        <v>136</v>
      </c>
      <c r="F2" s="374"/>
      <c r="G2" s="377" t="s">
        <v>137</v>
      </c>
      <c r="H2" s="378"/>
    </row>
    <row r="3" spans="2:8" ht="35.25" customHeight="1" thickTop="1" thickBot="1" x14ac:dyDescent="0.25">
      <c r="B3" s="367"/>
      <c r="C3" s="369"/>
      <c r="D3" s="370"/>
      <c r="E3" s="373"/>
      <c r="F3" s="374"/>
      <c r="G3" s="379"/>
      <c r="H3" s="380"/>
    </row>
    <row r="4" spans="2:8" ht="36" customHeight="1" thickTop="1" thickBot="1" x14ac:dyDescent="0.25">
      <c r="B4" s="368"/>
      <c r="C4" s="371"/>
      <c r="D4" s="372"/>
      <c r="E4" s="375"/>
      <c r="F4" s="376"/>
      <c r="G4" s="381"/>
      <c r="H4" s="382"/>
    </row>
    <row r="5" spans="2:8" ht="42.75" customHeight="1" thickBot="1" x14ac:dyDescent="0.25">
      <c r="B5" s="45" t="s">
        <v>138</v>
      </c>
      <c r="C5" s="383" t="s">
        <v>139</v>
      </c>
      <c r="D5" s="384"/>
      <c r="E5" s="383" t="s">
        <v>140</v>
      </c>
      <c r="F5" s="384"/>
      <c r="G5" s="385">
        <v>200</v>
      </c>
      <c r="H5" s="386"/>
    </row>
    <row r="6" spans="2:8" ht="33.75" customHeight="1" thickBot="1" x14ac:dyDescent="0.25">
      <c r="B6" s="387" t="s">
        <v>141</v>
      </c>
      <c r="C6" s="388"/>
      <c r="D6" s="388"/>
      <c r="E6" s="388"/>
      <c r="F6" s="388"/>
      <c r="G6" s="389">
        <f>G5*C5</f>
        <v>2000</v>
      </c>
      <c r="H6" s="390"/>
    </row>
    <row r="7" spans="2:8" ht="33.75" customHeight="1" x14ac:dyDescent="0.2">
      <c r="B7" s="46" t="s">
        <v>142</v>
      </c>
      <c r="C7"/>
      <c r="D7"/>
      <c r="E7"/>
      <c r="F7"/>
      <c r="G7"/>
      <c r="H7"/>
    </row>
    <row r="8" spans="2:8" ht="35.25" customHeight="1" x14ac:dyDescent="0.2"/>
    <row r="9" spans="2:8" ht="35.25" customHeight="1" x14ac:dyDescent="0.2"/>
    <row r="10" spans="2:8" ht="33.75" customHeight="1" x14ac:dyDescent="0.2"/>
    <row r="11" spans="2:8" ht="33.75" customHeight="1" x14ac:dyDescent="0.2"/>
    <row r="12" spans="2:8" ht="20.25" customHeight="1" x14ac:dyDescent="0.2"/>
    <row r="13" spans="2:8" x14ac:dyDescent="0.2">
      <c r="C13" s="43"/>
    </row>
    <row r="14" spans="2:8" x14ac:dyDescent="0.2">
      <c r="C14" s="43"/>
    </row>
    <row r="17" spans="1:1" ht="16.5" customHeight="1" x14ac:dyDescent="0.2"/>
    <row r="18" spans="1:1" ht="12.75" customHeight="1" x14ac:dyDescent="0.2"/>
    <row r="19" spans="1:1" x14ac:dyDescent="0.2">
      <c r="A19" s="44"/>
    </row>
    <row r="21" spans="1:1" ht="30.75" customHeight="1" x14ac:dyDescent="0.2"/>
    <row r="22" spans="1:1" ht="17.25" customHeight="1" x14ac:dyDescent="0.2"/>
  </sheetData>
  <sheetProtection algorithmName="SHA-512" hashValue="BcN+gQl1JW3gWURUi+U4XpORivyjLnZpdbeYTJOmDIwUagKPUGJLsNYhkY1JOQGNNCck1Gjhev4HAXcw503GCw==" saltValue="JCxOX2gp2vcbjXvMXURdRA==" spinCount="100000" sheet="1" objects="1" scenarios="1"/>
  <mergeCells count="10">
    <mergeCell ref="C5:D5"/>
    <mergeCell ref="E5:F5"/>
    <mergeCell ref="G5:H5"/>
    <mergeCell ref="B6:F6"/>
    <mergeCell ref="G6:H6"/>
    <mergeCell ref="B1:H1"/>
    <mergeCell ref="B2:B4"/>
    <mergeCell ref="C2:D4"/>
    <mergeCell ref="E2:F4"/>
    <mergeCell ref="G2:H4"/>
  </mergeCells>
  <pageMargins left="0.23622047244094491" right="0.23622047244094491" top="0.74803149606299213" bottom="0.74803149606299213" header="0.31496062992125984" footer="0.31496062992125984"/>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F5A09-ABB8-47CA-80ED-918E92AFCDC8}">
  <sheetPr>
    <pageSetUpPr fitToPage="1"/>
  </sheetPr>
  <dimension ref="A1:G19"/>
  <sheetViews>
    <sheetView showGridLines="0" workbookViewId="0">
      <selection activeCell="A15" sqref="A15:E15"/>
    </sheetView>
  </sheetViews>
  <sheetFormatPr defaultColWidth="9.140625" defaultRowHeight="12.75" x14ac:dyDescent="0.2"/>
  <cols>
    <col min="1" max="1" width="9.140625" style="42"/>
    <col min="2" max="2" width="63.28515625" style="42" customWidth="1"/>
    <col min="3" max="3" width="9.140625" style="42"/>
    <col min="4" max="4" width="11" style="42" customWidth="1"/>
    <col min="5" max="5" width="15" style="42" customWidth="1"/>
    <col min="6" max="6" width="14.7109375" style="42" customWidth="1"/>
    <col min="7" max="16384" width="9.140625" style="42"/>
  </cols>
  <sheetData>
    <row r="1" spans="1:7" ht="13.15" customHeight="1" x14ac:dyDescent="0.2">
      <c r="A1" s="394" t="s">
        <v>166</v>
      </c>
      <c r="B1" s="394"/>
      <c r="C1" s="394"/>
      <c r="D1" s="394"/>
      <c r="E1" s="394"/>
      <c r="F1" s="394"/>
      <c r="G1" s="62"/>
    </row>
    <row r="2" spans="1:7" x14ac:dyDescent="0.2">
      <c r="A2" s="66" t="s">
        <v>1</v>
      </c>
      <c r="B2" s="67"/>
      <c r="C2" s="67"/>
      <c r="D2" s="67"/>
      <c r="E2" s="68"/>
      <c r="F2" s="68"/>
      <c r="G2" s="62"/>
    </row>
    <row r="3" spans="1:7" x14ac:dyDescent="0.2">
      <c r="A3" s="69"/>
      <c r="B3" s="69"/>
      <c r="C3" s="69"/>
      <c r="D3" s="69"/>
      <c r="E3" s="69"/>
      <c r="F3" s="69"/>
      <c r="G3" s="62"/>
    </row>
    <row r="4" spans="1:7" x14ac:dyDescent="0.2">
      <c r="A4" s="69"/>
      <c r="B4" s="69"/>
      <c r="C4" s="69"/>
      <c r="D4" s="69"/>
      <c r="E4" s="69"/>
      <c r="F4" s="69"/>
      <c r="G4" s="62"/>
    </row>
    <row r="5" spans="1:7" ht="15.75" x14ac:dyDescent="0.2">
      <c r="A5" s="395" t="s">
        <v>167</v>
      </c>
      <c r="B5" s="396"/>
      <c r="C5" s="396"/>
      <c r="D5" s="396"/>
      <c r="E5" s="396"/>
      <c r="F5" s="397"/>
      <c r="G5" s="62"/>
    </row>
    <row r="6" spans="1:7" ht="22.5" x14ac:dyDescent="0.2">
      <c r="A6" s="70" t="s">
        <v>168</v>
      </c>
      <c r="B6" s="70" t="s">
        <v>169</v>
      </c>
      <c r="C6" s="70" t="s">
        <v>170</v>
      </c>
      <c r="D6" s="70" t="s">
        <v>171</v>
      </c>
      <c r="E6" s="70" t="s">
        <v>172</v>
      </c>
      <c r="F6" s="70" t="s">
        <v>173</v>
      </c>
      <c r="G6" s="62"/>
    </row>
    <row r="7" spans="1:7" x14ac:dyDescent="0.2">
      <c r="A7" s="71" t="s">
        <v>174</v>
      </c>
      <c r="B7" s="72" t="s">
        <v>175</v>
      </c>
      <c r="C7" s="73" t="s">
        <v>176</v>
      </c>
      <c r="D7" s="74" t="s">
        <v>124</v>
      </c>
      <c r="E7" s="63">
        <v>72</v>
      </c>
      <c r="F7" s="75">
        <f t="shared" ref="F7:F10" si="0">D7*E7</f>
        <v>144</v>
      </c>
      <c r="G7" s="62"/>
    </row>
    <row r="8" spans="1:7" x14ac:dyDescent="0.2">
      <c r="A8" s="76" t="s">
        <v>124</v>
      </c>
      <c r="B8" s="72" t="s">
        <v>177</v>
      </c>
      <c r="C8" s="73" t="s">
        <v>176</v>
      </c>
      <c r="D8" s="74" t="s">
        <v>124</v>
      </c>
      <c r="E8" s="63">
        <v>50</v>
      </c>
      <c r="F8" s="75">
        <f t="shared" si="0"/>
        <v>100</v>
      </c>
      <c r="G8" s="62"/>
    </row>
    <row r="9" spans="1:7" ht="51" x14ac:dyDescent="0.2">
      <c r="A9" s="76" t="s">
        <v>178</v>
      </c>
      <c r="B9" s="72" t="s">
        <v>179</v>
      </c>
      <c r="C9" s="73" t="s">
        <v>176</v>
      </c>
      <c r="D9" s="74" t="s">
        <v>124</v>
      </c>
      <c r="E9" s="63">
        <v>25</v>
      </c>
      <c r="F9" s="75">
        <f t="shared" si="0"/>
        <v>50</v>
      </c>
      <c r="G9" s="62"/>
    </row>
    <row r="10" spans="1:7" x14ac:dyDescent="0.2">
      <c r="A10" s="76" t="s">
        <v>128</v>
      </c>
      <c r="B10" s="77" t="s">
        <v>180</v>
      </c>
      <c r="C10" s="73" t="s">
        <v>176</v>
      </c>
      <c r="D10" s="74" t="s">
        <v>125</v>
      </c>
      <c r="E10" s="63">
        <v>20</v>
      </c>
      <c r="F10" s="75">
        <f t="shared" si="0"/>
        <v>20</v>
      </c>
      <c r="G10" s="62"/>
    </row>
    <row r="11" spans="1:7" ht="54" customHeight="1" x14ac:dyDescent="0.2">
      <c r="A11" s="78" t="s">
        <v>181</v>
      </c>
      <c r="B11" s="77" t="s">
        <v>182</v>
      </c>
      <c r="C11" s="73" t="s">
        <v>176</v>
      </c>
      <c r="D11" s="79" t="s">
        <v>125</v>
      </c>
      <c r="E11" s="64">
        <v>60</v>
      </c>
      <c r="F11" s="80">
        <f t="shared" ref="F11:F14" si="1">E11*D11</f>
        <v>60</v>
      </c>
    </row>
    <row r="12" spans="1:7" ht="16.5" x14ac:dyDescent="0.2">
      <c r="A12" s="78" t="s">
        <v>183</v>
      </c>
      <c r="B12" s="77" t="s">
        <v>184</v>
      </c>
      <c r="C12" s="73" t="s">
        <v>176</v>
      </c>
      <c r="D12" s="79" t="s">
        <v>125</v>
      </c>
      <c r="E12" s="64">
        <v>10</v>
      </c>
      <c r="F12" s="80">
        <f t="shared" si="1"/>
        <v>10</v>
      </c>
    </row>
    <row r="13" spans="1:7" ht="25.5" x14ac:dyDescent="0.2">
      <c r="A13" s="78" t="s">
        <v>185</v>
      </c>
      <c r="B13" s="77" t="s">
        <v>186</v>
      </c>
      <c r="C13" s="73" t="s">
        <v>187</v>
      </c>
      <c r="D13" s="79" t="s">
        <v>124</v>
      </c>
      <c r="E13" s="64">
        <v>10</v>
      </c>
      <c r="F13" s="80">
        <f t="shared" si="1"/>
        <v>20</v>
      </c>
    </row>
    <row r="14" spans="1:7" ht="94.5" customHeight="1" x14ac:dyDescent="0.2">
      <c r="A14" s="78" t="s">
        <v>188</v>
      </c>
      <c r="B14" s="77" t="s">
        <v>189</v>
      </c>
      <c r="C14" s="73" t="s">
        <v>187</v>
      </c>
      <c r="D14" s="81" t="s">
        <v>125</v>
      </c>
      <c r="E14" s="64">
        <v>180</v>
      </c>
      <c r="F14" s="80">
        <f t="shared" si="1"/>
        <v>180</v>
      </c>
    </row>
    <row r="15" spans="1:7" ht="20.25" customHeight="1" x14ac:dyDescent="0.2">
      <c r="A15" s="398" t="s">
        <v>190</v>
      </c>
      <c r="B15" s="399"/>
      <c r="C15" s="399"/>
      <c r="D15" s="399"/>
      <c r="E15" s="400"/>
      <c r="F15" s="189">
        <f>SUM(F7:F14)</f>
        <v>584</v>
      </c>
      <c r="G15" s="62"/>
    </row>
    <row r="16" spans="1:7" ht="21" customHeight="1" x14ac:dyDescent="0.2">
      <c r="A16" s="391" t="s">
        <v>191</v>
      </c>
      <c r="B16" s="392"/>
      <c r="C16" s="392"/>
      <c r="D16" s="392"/>
      <c r="E16" s="393"/>
      <c r="F16" s="82">
        <f>F15/12</f>
        <v>48.666666666666664</v>
      </c>
      <c r="G16" s="62"/>
    </row>
    <row r="17" spans="1:7" x14ac:dyDescent="0.2">
      <c r="A17" s="62"/>
      <c r="B17" s="62"/>
      <c r="C17" s="62"/>
      <c r="D17" s="65"/>
      <c r="E17" s="62"/>
      <c r="F17" s="62"/>
      <c r="G17" s="62"/>
    </row>
    <row r="18" spans="1:7" x14ac:dyDescent="0.2">
      <c r="A18" s="62"/>
      <c r="B18" s="62"/>
      <c r="C18" s="62"/>
      <c r="D18" s="62"/>
      <c r="E18" s="62"/>
      <c r="F18" s="62"/>
      <c r="G18" s="62"/>
    </row>
    <row r="19" spans="1:7" x14ac:dyDescent="0.2">
      <c r="A19" s="62"/>
      <c r="B19" s="62"/>
      <c r="C19" s="62"/>
      <c r="D19" s="65"/>
      <c r="E19" s="62"/>
      <c r="F19" s="62"/>
      <c r="G19" s="62"/>
    </row>
  </sheetData>
  <sheetProtection algorithmName="SHA-512" hashValue="u2994KQBvrV6DscwQdMKXNmKHs5JytHw4oooz+oL42nUyzixGqutT8E3ejoRusoAIBnvqDrvw0HJuiP+7uoxpQ==" saltValue="Fq5i8ty/hKgzo95j/vTirQ==" spinCount="100000" sheet="1" objects="1" scenarios="1"/>
  <mergeCells count="4">
    <mergeCell ref="A16:E16"/>
    <mergeCell ref="A1:F1"/>
    <mergeCell ref="A5:F5"/>
    <mergeCell ref="A15:E15"/>
  </mergeCells>
  <pageMargins left="0.25" right="0.25" top="0.75" bottom="0.75" header="0.3" footer="0.3"/>
  <pageSetup paperSize="9" scale="8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93D4D-1017-4A2D-932F-E9EFE4CBC624}">
  <sheetPr>
    <pageSetUpPr fitToPage="1"/>
  </sheetPr>
  <dimension ref="A1:F57"/>
  <sheetViews>
    <sheetView showGridLines="0" topLeftCell="A46" workbookViewId="0">
      <selection activeCell="E38" sqref="E38"/>
    </sheetView>
  </sheetViews>
  <sheetFormatPr defaultColWidth="9.140625" defaultRowHeight="12.75" x14ac:dyDescent="0.2"/>
  <cols>
    <col min="1" max="1" width="5.28515625" style="42" bestFit="1" customWidth="1"/>
    <col min="2" max="2" width="59.7109375" style="42" customWidth="1"/>
    <col min="3" max="3" width="16.140625" style="42" customWidth="1"/>
    <col min="4" max="4" width="12.42578125" style="42" customWidth="1"/>
    <col min="5" max="6" width="16.140625" style="42" customWidth="1"/>
    <col min="7" max="16384" width="9.140625" style="42"/>
  </cols>
  <sheetData>
    <row r="1" spans="1:6" x14ac:dyDescent="0.2">
      <c r="A1" s="394" t="s">
        <v>192</v>
      </c>
      <c r="B1" s="394"/>
      <c r="C1" s="394"/>
      <c r="D1" s="394"/>
      <c r="E1" s="394"/>
      <c r="F1" s="394"/>
    </row>
    <row r="2" spans="1:6" x14ac:dyDescent="0.2">
      <c r="A2" s="401" t="s">
        <v>1</v>
      </c>
      <c r="B2" s="401"/>
      <c r="C2" s="401"/>
      <c r="D2" s="401"/>
      <c r="E2" s="401"/>
      <c r="F2" s="401"/>
    </row>
    <row r="3" spans="1:6" x14ac:dyDescent="0.2">
      <c r="A3"/>
      <c r="B3"/>
      <c r="C3"/>
      <c r="D3"/>
      <c r="E3"/>
      <c r="F3"/>
    </row>
    <row r="4" spans="1:6" ht="15.75" x14ac:dyDescent="0.2">
      <c r="A4" s="395" t="s">
        <v>193</v>
      </c>
      <c r="B4" s="396"/>
      <c r="C4" s="396"/>
      <c r="D4" s="396"/>
      <c r="E4" s="396"/>
      <c r="F4" s="397"/>
    </row>
    <row r="5" spans="1:6" ht="22.5" x14ac:dyDescent="0.2">
      <c r="A5" s="90" t="s">
        <v>194</v>
      </c>
      <c r="B5" s="91" t="s">
        <v>195</v>
      </c>
      <c r="C5" s="90" t="s">
        <v>196</v>
      </c>
      <c r="D5" s="91" t="s">
        <v>197</v>
      </c>
      <c r="E5" s="92" t="s">
        <v>198</v>
      </c>
      <c r="F5" s="90" t="s">
        <v>199</v>
      </c>
    </row>
    <row r="6" spans="1:6" ht="16.5" x14ac:dyDescent="0.2">
      <c r="A6" s="78" t="s">
        <v>125</v>
      </c>
      <c r="B6" s="72" t="s">
        <v>200</v>
      </c>
      <c r="C6" s="73" t="s">
        <v>134</v>
      </c>
      <c r="D6" s="81" t="s">
        <v>183</v>
      </c>
      <c r="E6" s="64">
        <v>20</v>
      </c>
      <c r="F6" s="80">
        <f t="shared" ref="F6" si="0">E6*D6</f>
        <v>120</v>
      </c>
    </row>
    <row r="7" spans="1:6" ht="91.5" customHeight="1" x14ac:dyDescent="0.2">
      <c r="A7" s="78" t="s">
        <v>124</v>
      </c>
      <c r="B7" s="72" t="s">
        <v>201</v>
      </c>
      <c r="C7" s="73" t="s">
        <v>134</v>
      </c>
      <c r="D7" s="79" t="s">
        <v>202</v>
      </c>
      <c r="E7" s="64">
        <v>10</v>
      </c>
      <c r="F7" s="80">
        <f t="shared" ref="F7:F8" si="1">E7*D7</f>
        <v>130</v>
      </c>
    </row>
    <row r="8" spans="1:6" ht="168.75" customHeight="1" x14ac:dyDescent="0.2">
      <c r="A8" s="78" t="s">
        <v>178</v>
      </c>
      <c r="B8" s="72" t="s">
        <v>203</v>
      </c>
      <c r="C8" s="73" t="s">
        <v>134</v>
      </c>
      <c r="D8" s="81" t="s">
        <v>202</v>
      </c>
      <c r="E8" s="64">
        <v>15</v>
      </c>
      <c r="F8" s="80">
        <f t="shared" si="1"/>
        <v>195</v>
      </c>
    </row>
    <row r="9" spans="1:6" ht="37.5" customHeight="1" x14ac:dyDescent="0.2">
      <c r="A9" s="78" t="s">
        <v>128</v>
      </c>
      <c r="B9" s="72" t="s">
        <v>204</v>
      </c>
      <c r="C9" s="73" t="s">
        <v>134</v>
      </c>
      <c r="D9" s="93" t="s">
        <v>124</v>
      </c>
      <c r="E9" s="64">
        <v>75</v>
      </c>
      <c r="F9" s="80">
        <f t="shared" ref="F9" si="2">E9*D9</f>
        <v>150</v>
      </c>
    </row>
    <row r="10" spans="1:6" ht="34.5" customHeight="1" x14ac:dyDescent="0.2">
      <c r="A10" s="78" t="s">
        <v>181</v>
      </c>
      <c r="B10" s="72" t="s">
        <v>205</v>
      </c>
      <c r="C10" s="94" t="s">
        <v>134</v>
      </c>
      <c r="D10" s="95" t="s">
        <v>124</v>
      </c>
      <c r="E10" s="83">
        <v>90</v>
      </c>
      <c r="F10" s="96">
        <f>E10*D10</f>
        <v>180</v>
      </c>
    </row>
    <row r="11" spans="1:6" ht="25.5" x14ac:dyDescent="0.2">
      <c r="A11" s="78" t="s">
        <v>183</v>
      </c>
      <c r="B11" s="72" t="s">
        <v>206</v>
      </c>
      <c r="C11" s="94" t="s">
        <v>134</v>
      </c>
      <c r="D11" s="95" t="s">
        <v>183</v>
      </c>
      <c r="E11" s="83">
        <v>50</v>
      </c>
      <c r="F11" s="96">
        <f t="shared" ref="F11:F28" si="3">E11*D11</f>
        <v>300</v>
      </c>
    </row>
    <row r="12" spans="1:6" ht="73.5" customHeight="1" x14ac:dyDescent="0.2">
      <c r="A12" s="78" t="s">
        <v>185</v>
      </c>
      <c r="B12" s="72" t="s">
        <v>207</v>
      </c>
      <c r="C12" s="94" t="s">
        <v>134</v>
      </c>
      <c r="D12" s="95" t="s">
        <v>125</v>
      </c>
      <c r="E12" s="83">
        <v>100</v>
      </c>
      <c r="F12" s="96">
        <f t="shared" si="3"/>
        <v>100</v>
      </c>
    </row>
    <row r="13" spans="1:6" ht="42.75" customHeight="1" x14ac:dyDescent="0.2">
      <c r="A13" s="78" t="s">
        <v>188</v>
      </c>
      <c r="B13" s="72" t="s">
        <v>208</v>
      </c>
      <c r="C13" s="94" t="s">
        <v>134</v>
      </c>
      <c r="D13" s="95" t="s">
        <v>125</v>
      </c>
      <c r="E13" s="83">
        <v>100</v>
      </c>
      <c r="F13" s="96">
        <f t="shared" si="3"/>
        <v>100</v>
      </c>
    </row>
    <row r="14" spans="1:6" ht="16.5" x14ac:dyDescent="0.2">
      <c r="A14" s="78" t="s">
        <v>209</v>
      </c>
      <c r="B14" s="72" t="s">
        <v>210</v>
      </c>
      <c r="C14" s="73" t="s">
        <v>134</v>
      </c>
      <c r="D14" s="79" t="s">
        <v>125</v>
      </c>
      <c r="E14" s="64">
        <v>15</v>
      </c>
      <c r="F14" s="80">
        <f t="shared" si="3"/>
        <v>15</v>
      </c>
    </row>
    <row r="15" spans="1:6" ht="16.5" x14ac:dyDescent="0.2">
      <c r="A15" s="78" t="s">
        <v>139</v>
      </c>
      <c r="B15" s="72" t="s">
        <v>211</v>
      </c>
      <c r="C15" s="73" t="s">
        <v>134</v>
      </c>
      <c r="D15" s="79" t="s">
        <v>124</v>
      </c>
      <c r="E15" s="64">
        <v>15</v>
      </c>
      <c r="F15" s="80">
        <f t="shared" si="3"/>
        <v>30</v>
      </c>
    </row>
    <row r="16" spans="1:6" ht="16.5" x14ac:dyDescent="0.2">
      <c r="A16" s="78" t="s">
        <v>212</v>
      </c>
      <c r="B16" s="72" t="s">
        <v>213</v>
      </c>
      <c r="C16" s="73" t="s">
        <v>134</v>
      </c>
      <c r="D16" s="79" t="s">
        <v>124</v>
      </c>
      <c r="E16" s="64">
        <v>15</v>
      </c>
      <c r="F16" s="80">
        <f t="shared" si="3"/>
        <v>30</v>
      </c>
    </row>
    <row r="17" spans="1:6" ht="16.5" x14ac:dyDescent="0.2">
      <c r="A17" s="78" t="s">
        <v>214</v>
      </c>
      <c r="B17" s="72" t="s">
        <v>215</v>
      </c>
      <c r="C17" s="73" t="s">
        <v>134</v>
      </c>
      <c r="D17" s="79" t="s">
        <v>124</v>
      </c>
      <c r="E17" s="64">
        <v>100</v>
      </c>
      <c r="F17" s="80">
        <f t="shared" si="3"/>
        <v>200</v>
      </c>
    </row>
    <row r="18" spans="1:6" ht="25.5" x14ac:dyDescent="0.2">
      <c r="A18" s="78" t="s">
        <v>202</v>
      </c>
      <c r="B18" s="72" t="s">
        <v>216</v>
      </c>
      <c r="C18" s="73" t="s">
        <v>134</v>
      </c>
      <c r="D18" s="79" t="s">
        <v>124</v>
      </c>
      <c r="E18" s="64">
        <v>100</v>
      </c>
      <c r="F18" s="80">
        <f t="shared" si="3"/>
        <v>200</v>
      </c>
    </row>
    <row r="19" spans="1:6" ht="25.5" x14ac:dyDescent="0.2">
      <c r="A19" s="78" t="s">
        <v>217</v>
      </c>
      <c r="B19" s="72" t="s">
        <v>218</v>
      </c>
      <c r="C19" s="94" t="s">
        <v>134</v>
      </c>
      <c r="D19" s="95" t="s">
        <v>125</v>
      </c>
      <c r="E19" s="83">
        <v>250</v>
      </c>
      <c r="F19" s="96">
        <f t="shared" si="3"/>
        <v>250</v>
      </c>
    </row>
    <row r="20" spans="1:6" ht="21" customHeight="1" x14ac:dyDescent="0.2">
      <c r="A20" s="78" t="s">
        <v>219</v>
      </c>
      <c r="B20" s="72" t="s">
        <v>220</v>
      </c>
      <c r="C20" s="94" t="s">
        <v>134</v>
      </c>
      <c r="D20" s="97" t="s">
        <v>125</v>
      </c>
      <c r="E20" s="83">
        <v>25</v>
      </c>
      <c r="F20" s="96">
        <f t="shared" si="3"/>
        <v>25</v>
      </c>
    </row>
    <row r="21" spans="1:6" ht="36.75" customHeight="1" x14ac:dyDescent="0.2">
      <c r="A21" s="78" t="s">
        <v>221</v>
      </c>
      <c r="B21" s="72" t="s">
        <v>222</v>
      </c>
      <c r="C21" s="98" t="s">
        <v>134</v>
      </c>
      <c r="D21" s="99" t="s">
        <v>178</v>
      </c>
      <c r="E21" s="84">
        <v>25</v>
      </c>
      <c r="F21" s="100">
        <f t="shared" si="3"/>
        <v>75</v>
      </c>
    </row>
    <row r="22" spans="1:6" ht="33.75" customHeight="1" x14ac:dyDescent="0.2">
      <c r="A22" s="78" t="s">
        <v>223</v>
      </c>
      <c r="B22" s="72" t="s">
        <v>224</v>
      </c>
      <c r="C22" s="101" t="s">
        <v>134</v>
      </c>
      <c r="D22" s="102" t="s">
        <v>178</v>
      </c>
      <c r="E22" s="85">
        <v>25</v>
      </c>
      <c r="F22" s="100">
        <f t="shared" ref="F22:F23" si="4">E22*D22</f>
        <v>75</v>
      </c>
    </row>
    <row r="23" spans="1:6" ht="24.75" customHeight="1" x14ac:dyDescent="0.2">
      <c r="A23" s="78" t="s">
        <v>225</v>
      </c>
      <c r="B23" s="72" t="s">
        <v>226</v>
      </c>
      <c r="C23" s="101" t="s">
        <v>134</v>
      </c>
      <c r="D23" s="103" t="s">
        <v>178</v>
      </c>
      <c r="E23" s="85">
        <v>25</v>
      </c>
      <c r="F23" s="100">
        <f t="shared" si="4"/>
        <v>75</v>
      </c>
    </row>
    <row r="24" spans="1:6" s="87" customFormat="1" ht="21" customHeight="1" x14ac:dyDescent="0.2">
      <c r="A24" s="104" t="s">
        <v>227</v>
      </c>
      <c r="B24" s="105" t="s">
        <v>228</v>
      </c>
      <c r="C24" s="106" t="s">
        <v>134</v>
      </c>
      <c r="D24" s="107" t="s">
        <v>125</v>
      </c>
      <c r="E24" s="86">
        <v>80</v>
      </c>
      <c r="F24" s="108">
        <f t="shared" ref="F24:F26" si="5">E24*D24</f>
        <v>80</v>
      </c>
    </row>
    <row r="25" spans="1:6" s="87" customFormat="1" ht="21" customHeight="1" x14ac:dyDescent="0.2">
      <c r="A25" s="104" t="s">
        <v>229</v>
      </c>
      <c r="B25" s="105" t="s">
        <v>230</v>
      </c>
      <c r="C25" s="106" t="s">
        <v>134</v>
      </c>
      <c r="D25" s="109" t="s">
        <v>188</v>
      </c>
      <c r="E25" s="86">
        <v>10</v>
      </c>
      <c r="F25" s="108">
        <f t="shared" si="5"/>
        <v>80</v>
      </c>
    </row>
    <row r="26" spans="1:6" s="87" customFormat="1" ht="21" customHeight="1" x14ac:dyDescent="0.2">
      <c r="A26" s="104" t="s">
        <v>231</v>
      </c>
      <c r="B26" s="105" t="s">
        <v>232</v>
      </c>
      <c r="C26" s="106" t="s">
        <v>134</v>
      </c>
      <c r="D26" s="109" t="s">
        <v>125</v>
      </c>
      <c r="E26" s="86">
        <v>20</v>
      </c>
      <c r="F26" s="108">
        <f t="shared" si="5"/>
        <v>20</v>
      </c>
    </row>
    <row r="27" spans="1:6" ht="21" customHeight="1" x14ac:dyDescent="0.2">
      <c r="A27" s="78" t="s">
        <v>233</v>
      </c>
      <c r="B27" s="110" t="s">
        <v>234</v>
      </c>
      <c r="C27" s="94" t="s">
        <v>134</v>
      </c>
      <c r="D27" s="97" t="s">
        <v>125</v>
      </c>
      <c r="E27" s="83">
        <v>1000</v>
      </c>
      <c r="F27" s="96">
        <f t="shared" ref="F27" si="6">E27*D27</f>
        <v>1000</v>
      </c>
    </row>
    <row r="28" spans="1:6" ht="110.25" customHeight="1" x14ac:dyDescent="0.2">
      <c r="A28" s="78" t="s">
        <v>235</v>
      </c>
      <c r="B28" s="111" t="s">
        <v>236</v>
      </c>
      <c r="C28" s="112" t="s">
        <v>134</v>
      </c>
      <c r="D28" s="113" t="s">
        <v>125</v>
      </c>
      <c r="E28" s="88">
        <v>80</v>
      </c>
      <c r="F28" s="114">
        <f t="shared" si="3"/>
        <v>80</v>
      </c>
    </row>
    <row r="29" spans="1:6" ht="105" customHeight="1" x14ac:dyDescent="0.2">
      <c r="A29" s="78" t="s">
        <v>237</v>
      </c>
      <c r="B29" s="111" t="s">
        <v>238</v>
      </c>
      <c r="C29" s="112" t="s">
        <v>134</v>
      </c>
      <c r="D29" s="113" t="s">
        <v>125</v>
      </c>
      <c r="E29" s="88">
        <v>80</v>
      </c>
      <c r="F29" s="114">
        <f t="shared" ref="F29" si="7">E29*D29</f>
        <v>80</v>
      </c>
    </row>
    <row r="30" spans="1:6" ht="102.75" customHeight="1" x14ac:dyDescent="0.2">
      <c r="A30" s="78" t="s">
        <v>239</v>
      </c>
      <c r="B30" s="111" t="s">
        <v>240</v>
      </c>
      <c r="C30" s="112" t="s">
        <v>134</v>
      </c>
      <c r="D30" s="113" t="s">
        <v>125</v>
      </c>
      <c r="E30" s="88">
        <v>80</v>
      </c>
      <c r="F30" s="114">
        <f t="shared" ref="F30" si="8">E30*D30</f>
        <v>80</v>
      </c>
    </row>
    <row r="31" spans="1:6" ht="55.5" customHeight="1" x14ac:dyDescent="0.2">
      <c r="A31" s="78" t="s">
        <v>241</v>
      </c>
      <c r="B31" s="115" t="s">
        <v>242</v>
      </c>
      <c r="C31" s="112" t="s">
        <v>134</v>
      </c>
      <c r="D31" s="113" t="s">
        <v>124</v>
      </c>
      <c r="E31" s="88">
        <v>80</v>
      </c>
      <c r="F31" s="114">
        <f t="shared" ref="F31:F52" si="9">E31*D31</f>
        <v>160</v>
      </c>
    </row>
    <row r="32" spans="1:6" ht="57" customHeight="1" x14ac:dyDescent="0.2">
      <c r="A32" s="78" t="s">
        <v>243</v>
      </c>
      <c r="B32" s="72" t="s">
        <v>244</v>
      </c>
      <c r="C32" s="112" t="s">
        <v>134</v>
      </c>
      <c r="D32" s="113" t="s">
        <v>128</v>
      </c>
      <c r="E32" s="88">
        <v>80</v>
      </c>
      <c r="F32" s="114">
        <f t="shared" si="9"/>
        <v>320</v>
      </c>
    </row>
    <row r="33" spans="1:6" x14ac:dyDescent="0.2">
      <c r="A33" s="78" t="s">
        <v>245</v>
      </c>
      <c r="B33" s="72" t="s">
        <v>246</v>
      </c>
      <c r="C33" s="112" t="s">
        <v>134</v>
      </c>
      <c r="D33" s="113" t="s">
        <v>124</v>
      </c>
      <c r="E33" s="88">
        <v>50</v>
      </c>
      <c r="F33" s="114">
        <f t="shared" si="9"/>
        <v>100</v>
      </c>
    </row>
    <row r="34" spans="1:6" x14ac:dyDescent="0.2">
      <c r="A34" s="78" t="s">
        <v>247</v>
      </c>
      <c r="B34" s="72" t="s">
        <v>248</v>
      </c>
      <c r="C34" s="112" t="s">
        <v>134</v>
      </c>
      <c r="D34" s="113" t="s">
        <v>188</v>
      </c>
      <c r="E34" s="88">
        <v>80</v>
      </c>
      <c r="F34" s="114">
        <f t="shared" si="9"/>
        <v>640</v>
      </c>
    </row>
    <row r="35" spans="1:6" x14ac:dyDescent="0.2">
      <c r="A35" s="78" t="s">
        <v>140</v>
      </c>
      <c r="B35" s="72" t="s">
        <v>249</v>
      </c>
      <c r="C35" s="112" t="s">
        <v>134</v>
      </c>
      <c r="D35" s="113" t="s">
        <v>181</v>
      </c>
      <c r="E35" s="88">
        <v>80</v>
      </c>
      <c r="F35" s="114">
        <f t="shared" si="9"/>
        <v>400</v>
      </c>
    </row>
    <row r="36" spans="1:6" ht="68.25" customHeight="1" x14ac:dyDescent="0.2">
      <c r="A36" s="78" t="s">
        <v>250</v>
      </c>
      <c r="B36" s="72" t="s">
        <v>251</v>
      </c>
      <c r="C36" s="112" t="s">
        <v>134</v>
      </c>
      <c r="D36" s="113" t="s">
        <v>181</v>
      </c>
      <c r="E36" s="88">
        <v>50</v>
      </c>
      <c r="F36" s="114">
        <f t="shared" si="9"/>
        <v>250</v>
      </c>
    </row>
    <row r="37" spans="1:6" ht="16.5" x14ac:dyDescent="0.2">
      <c r="A37" s="78" t="s">
        <v>252</v>
      </c>
      <c r="B37" s="72" t="s">
        <v>253</v>
      </c>
      <c r="C37" s="73" t="s">
        <v>176</v>
      </c>
      <c r="D37" s="79" t="s">
        <v>181</v>
      </c>
      <c r="E37" s="64">
        <v>1000</v>
      </c>
      <c r="F37" s="80">
        <f t="shared" si="9"/>
        <v>5000</v>
      </c>
    </row>
    <row r="38" spans="1:6" ht="28.5" customHeight="1" x14ac:dyDescent="0.2">
      <c r="A38" s="78" t="s">
        <v>254</v>
      </c>
      <c r="B38" s="72" t="s">
        <v>255</v>
      </c>
      <c r="C38" s="112" t="s">
        <v>134</v>
      </c>
      <c r="D38" s="113" t="s">
        <v>181</v>
      </c>
      <c r="E38" s="88">
        <v>80</v>
      </c>
      <c r="F38" s="114">
        <f t="shared" si="9"/>
        <v>400</v>
      </c>
    </row>
    <row r="39" spans="1:6" x14ac:dyDescent="0.2">
      <c r="A39" s="78" t="s">
        <v>256</v>
      </c>
      <c r="B39" s="72" t="s">
        <v>257</v>
      </c>
      <c r="C39" s="112" t="s">
        <v>134</v>
      </c>
      <c r="D39" s="113" t="s">
        <v>124</v>
      </c>
      <c r="E39" s="89">
        <v>10</v>
      </c>
      <c r="F39" s="116">
        <f t="shared" si="9"/>
        <v>20</v>
      </c>
    </row>
    <row r="40" spans="1:6" x14ac:dyDescent="0.2">
      <c r="A40" s="78" t="s">
        <v>258</v>
      </c>
      <c r="B40" s="72" t="s">
        <v>259</v>
      </c>
      <c r="C40" s="112" t="s">
        <v>134</v>
      </c>
      <c r="D40" s="113" t="s">
        <v>125</v>
      </c>
      <c r="E40" s="89">
        <v>15</v>
      </c>
      <c r="F40" s="116">
        <f t="shared" ref="F40:F48" si="10">E40*D40</f>
        <v>15</v>
      </c>
    </row>
    <row r="41" spans="1:6" x14ac:dyDescent="0.2">
      <c r="A41" s="78" t="s">
        <v>260</v>
      </c>
      <c r="B41" s="72" t="s">
        <v>261</v>
      </c>
      <c r="C41" s="112" t="s">
        <v>134</v>
      </c>
      <c r="D41" s="113" t="s">
        <v>125</v>
      </c>
      <c r="E41" s="89">
        <v>50</v>
      </c>
      <c r="F41" s="116">
        <f t="shared" si="10"/>
        <v>50</v>
      </c>
    </row>
    <row r="42" spans="1:6" x14ac:dyDescent="0.2">
      <c r="A42" s="78" t="s">
        <v>262</v>
      </c>
      <c r="B42" s="72" t="s">
        <v>263</v>
      </c>
      <c r="C42" s="112" t="s">
        <v>134</v>
      </c>
      <c r="D42" s="113" t="s">
        <v>125</v>
      </c>
      <c r="E42" s="89">
        <v>25</v>
      </c>
      <c r="F42" s="116">
        <f t="shared" si="10"/>
        <v>25</v>
      </c>
    </row>
    <row r="43" spans="1:6" ht="28.5" customHeight="1" x14ac:dyDescent="0.2">
      <c r="A43" s="78" t="s">
        <v>264</v>
      </c>
      <c r="B43" s="72" t="s">
        <v>265</v>
      </c>
      <c r="C43" s="112" t="s">
        <v>134</v>
      </c>
      <c r="D43" s="113" t="s">
        <v>125</v>
      </c>
      <c r="E43" s="89">
        <v>50</v>
      </c>
      <c r="F43" s="116">
        <f t="shared" si="10"/>
        <v>50</v>
      </c>
    </row>
    <row r="44" spans="1:6" x14ac:dyDescent="0.2">
      <c r="A44" s="78" t="s">
        <v>266</v>
      </c>
      <c r="B44" s="72" t="s">
        <v>267</v>
      </c>
      <c r="C44" s="112" t="s">
        <v>134</v>
      </c>
      <c r="D44" s="113" t="s">
        <v>125</v>
      </c>
      <c r="E44" s="89">
        <v>15</v>
      </c>
      <c r="F44" s="116">
        <f t="shared" si="10"/>
        <v>15</v>
      </c>
    </row>
    <row r="45" spans="1:6" x14ac:dyDescent="0.2">
      <c r="A45" s="78" t="s">
        <v>268</v>
      </c>
      <c r="B45" s="72" t="s">
        <v>269</v>
      </c>
      <c r="C45" s="112" t="s">
        <v>134</v>
      </c>
      <c r="D45" s="113" t="s">
        <v>125</v>
      </c>
      <c r="E45" s="89">
        <v>15</v>
      </c>
      <c r="F45" s="116">
        <f t="shared" si="10"/>
        <v>15</v>
      </c>
    </row>
    <row r="46" spans="1:6" x14ac:dyDescent="0.2">
      <c r="A46" s="78" t="s">
        <v>270</v>
      </c>
      <c r="B46" s="72" t="s">
        <v>271</v>
      </c>
      <c r="C46" s="112" t="s">
        <v>134</v>
      </c>
      <c r="D46" s="113" t="s">
        <v>125</v>
      </c>
      <c r="E46" s="89">
        <v>15</v>
      </c>
      <c r="F46" s="116">
        <f t="shared" si="10"/>
        <v>15</v>
      </c>
    </row>
    <row r="47" spans="1:6" x14ac:dyDescent="0.2">
      <c r="A47" s="78" t="s">
        <v>272</v>
      </c>
      <c r="B47" s="72" t="s">
        <v>273</v>
      </c>
      <c r="C47" s="112" t="s">
        <v>134</v>
      </c>
      <c r="D47" s="113" t="s">
        <v>124</v>
      </c>
      <c r="E47" s="89">
        <v>15</v>
      </c>
      <c r="F47" s="116">
        <f t="shared" si="10"/>
        <v>30</v>
      </c>
    </row>
    <row r="48" spans="1:6" x14ac:dyDescent="0.2">
      <c r="A48" s="78" t="s">
        <v>274</v>
      </c>
      <c r="B48" s="72" t="s">
        <v>275</v>
      </c>
      <c r="C48" s="112" t="s">
        <v>134</v>
      </c>
      <c r="D48" s="113" t="s">
        <v>128</v>
      </c>
      <c r="E48" s="89">
        <v>2</v>
      </c>
      <c r="F48" s="116">
        <f t="shared" si="10"/>
        <v>8</v>
      </c>
    </row>
    <row r="49" spans="1:6" x14ac:dyDescent="0.2">
      <c r="A49" s="78" t="s">
        <v>276</v>
      </c>
      <c r="B49" s="72" t="s">
        <v>277</v>
      </c>
      <c r="C49" s="112" t="s">
        <v>134</v>
      </c>
      <c r="D49" s="113" t="s">
        <v>124</v>
      </c>
      <c r="E49" s="88">
        <v>50</v>
      </c>
      <c r="F49" s="114">
        <f t="shared" si="9"/>
        <v>100</v>
      </c>
    </row>
    <row r="50" spans="1:6" x14ac:dyDescent="0.2">
      <c r="A50" s="78" t="s">
        <v>278</v>
      </c>
      <c r="B50" s="72" t="s">
        <v>279</v>
      </c>
      <c r="C50" s="117" t="s">
        <v>134</v>
      </c>
      <c r="D50" s="113" t="s">
        <v>181</v>
      </c>
      <c r="E50" s="88">
        <v>50</v>
      </c>
      <c r="F50" s="114">
        <f t="shared" si="9"/>
        <v>250</v>
      </c>
    </row>
    <row r="51" spans="1:6" x14ac:dyDescent="0.2">
      <c r="A51" s="78" t="s">
        <v>280</v>
      </c>
      <c r="B51" s="72" t="s">
        <v>281</v>
      </c>
      <c r="C51" s="117" t="s">
        <v>134</v>
      </c>
      <c r="D51" s="113" t="s">
        <v>181</v>
      </c>
      <c r="E51" s="88">
        <v>10</v>
      </c>
      <c r="F51" s="114">
        <f t="shared" si="9"/>
        <v>50</v>
      </c>
    </row>
    <row r="52" spans="1:6" x14ac:dyDescent="0.2">
      <c r="A52" s="78" t="s">
        <v>282</v>
      </c>
      <c r="B52" s="72" t="s">
        <v>283</v>
      </c>
      <c r="C52" s="117" t="s">
        <v>134</v>
      </c>
      <c r="D52" s="113" t="s">
        <v>181</v>
      </c>
      <c r="E52" s="88">
        <v>10</v>
      </c>
      <c r="F52" s="114">
        <f t="shared" si="9"/>
        <v>50</v>
      </c>
    </row>
    <row r="53" spans="1:6" ht="25.5" x14ac:dyDescent="0.2">
      <c r="A53" s="78" t="s">
        <v>284</v>
      </c>
      <c r="B53" s="72" t="s">
        <v>285</v>
      </c>
      <c r="C53" s="117" t="s">
        <v>134</v>
      </c>
      <c r="D53" s="113" t="s">
        <v>125</v>
      </c>
      <c r="E53" s="88">
        <v>500</v>
      </c>
      <c r="F53" s="114">
        <f t="shared" ref="F53" si="11">E53*D53</f>
        <v>500</v>
      </c>
    </row>
    <row r="54" spans="1:6" x14ac:dyDescent="0.2">
      <c r="A54" s="402" t="s">
        <v>199</v>
      </c>
      <c r="B54" s="399"/>
      <c r="C54" s="399"/>
      <c r="D54" s="399"/>
      <c r="E54" s="403"/>
      <c r="F54" s="118">
        <f>SUM(F6:F53)</f>
        <v>12133</v>
      </c>
    </row>
    <row r="55" spans="1:6" x14ac:dyDescent="0.2">
      <c r="A55" s="404" t="s">
        <v>286</v>
      </c>
      <c r="B55" s="392"/>
      <c r="C55" s="392"/>
      <c r="D55" s="392"/>
      <c r="E55" s="405"/>
      <c r="F55" s="119">
        <f>F54/60</f>
        <v>202.21666666666667</v>
      </c>
    </row>
    <row r="56" spans="1:6" s="87" customFormat="1" x14ac:dyDescent="0.2">
      <c r="A56" s="120" t="s">
        <v>287</v>
      </c>
      <c r="B56" s="121"/>
      <c r="C56" s="121"/>
      <c r="D56" s="121"/>
      <c r="E56" s="121"/>
      <c r="F56" s="121"/>
    </row>
    <row r="57" spans="1:6" s="87" customFormat="1" x14ac:dyDescent="0.2">
      <c r="A57" s="120"/>
      <c r="B57" s="121"/>
      <c r="C57" s="121"/>
      <c r="D57" s="121"/>
      <c r="E57" s="121"/>
      <c r="F57" s="121"/>
    </row>
  </sheetData>
  <sheetProtection algorithmName="SHA-512" hashValue="/VV7ypZGJPF7X7+yczg9sqLmPn1rQ6tR1yocVUVZS7ru8hqHVUXgGwe3JbHC/3+zxTnj6b+S37vWMAmMBBtf/w==" saltValue="erz1Mg5T7No38oW1Emhf9Q==" spinCount="100000" sheet="1" objects="1" scenarios="1"/>
  <mergeCells count="5">
    <mergeCell ref="A1:F1"/>
    <mergeCell ref="A2:F2"/>
    <mergeCell ref="A54:E54"/>
    <mergeCell ref="A55:E55"/>
    <mergeCell ref="A4:F4"/>
  </mergeCells>
  <phoneticPr fontId="18" type="noConversion"/>
  <pageMargins left="0.23622047244094491" right="0.23622047244094491" top="0.74803149606299213" bottom="0.74803149606299213" header="0.31496062992125984" footer="0.31496062992125984"/>
  <pageSetup paperSize="9" scale="7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E894A-CBE6-4FF1-8CED-E9F31B46BBEA}">
  <sheetPr>
    <pageSetUpPr fitToPage="1"/>
  </sheetPr>
  <dimension ref="A1:F33"/>
  <sheetViews>
    <sheetView showGridLines="0" zoomScale="110" zoomScaleNormal="110" workbookViewId="0">
      <selection activeCell="F30" sqref="F30"/>
    </sheetView>
  </sheetViews>
  <sheetFormatPr defaultColWidth="9.140625" defaultRowHeight="12.75" x14ac:dyDescent="0.2"/>
  <cols>
    <col min="1" max="1" width="5.28515625" style="42" bestFit="1" customWidth="1"/>
    <col min="2" max="2" width="59.7109375" style="42" customWidth="1"/>
    <col min="3" max="3" width="16.140625" style="42" customWidth="1"/>
    <col min="4" max="4" width="12.42578125" style="42" customWidth="1"/>
    <col min="5" max="6" width="16.140625" style="42" customWidth="1"/>
    <col min="7" max="16384" width="9.140625" style="42"/>
  </cols>
  <sheetData>
    <row r="1" spans="1:6" x14ac:dyDescent="0.2">
      <c r="A1" s="394" t="s">
        <v>288</v>
      </c>
      <c r="B1" s="394"/>
      <c r="C1" s="394"/>
      <c r="D1" s="394"/>
      <c r="E1" s="394"/>
      <c r="F1" s="394"/>
    </row>
    <row r="2" spans="1:6" x14ac:dyDescent="0.2">
      <c r="A2" s="401" t="s">
        <v>1</v>
      </c>
      <c r="B2" s="401"/>
      <c r="C2" s="401"/>
      <c r="D2" s="401"/>
      <c r="E2" s="401"/>
      <c r="F2" s="401"/>
    </row>
    <row r="3" spans="1:6" x14ac:dyDescent="0.2">
      <c r="A3"/>
      <c r="B3"/>
      <c r="C3"/>
      <c r="D3"/>
      <c r="E3"/>
      <c r="F3"/>
    </row>
    <row r="4" spans="1:6" ht="15.75" x14ac:dyDescent="0.2">
      <c r="A4" s="395" t="s">
        <v>289</v>
      </c>
      <c r="B4" s="396"/>
      <c r="C4" s="396"/>
      <c r="D4" s="396"/>
      <c r="E4" s="396"/>
      <c r="F4" s="397"/>
    </row>
    <row r="5" spans="1:6" x14ac:dyDescent="0.2">
      <c r="A5" s="90" t="s">
        <v>194</v>
      </c>
      <c r="B5" s="91" t="s">
        <v>290</v>
      </c>
      <c r="C5" s="90" t="s">
        <v>196</v>
      </c>
      <c r="D5" s="91" t="s">
        <v>197</v>
      </c>
      <c r="E5" s="90" t="s">
        <v>291</v>
      </c>
      <c r="F5" s="90" t="s">
        <v>199</v>
      </c>
    </row>
    <row r="6" spans="1:6" ht="16.5" x14ac:dyDescent="0.2">
      <c r="A6" s="78" t="s">
        <v>125</v>
      </c>
      <c r="B6" s="124" t="s">
        <v>292</v>
      </c>
      <c r="C6" s="73" t="s">
        <v>134</v>
      </c>
      <c r="D6" s="81">
        <v>15</v>
      </c>
      <c r="E6" s="64">
        <v>1.5</v>
      </c>
      <c r="F6" s="80">
        <f t="shared" ref="F6:F28" si="0">E6*D6</f>
        <v>22.5</v>
      </c>
    </row>
    <row r="7" spans="1:6" ht="16.5" x14ac:dyDescent="0.2">
      <c r="A7" s="78" t="s">
        <v>124</v>
      </c>
      <c r="B7" s="124" t="s">
        <v>293</v>
      </c>
      <c r="C7" s="73" t="s">
        <v>134</v>
      </c>
      <c r="D7" s="81">
        <v>15</v>
      </c>
      <c r="E7" s="64">
        <v>2.5</v>
      </c>
      <c r="F7" s="80">
        <f t="shared" si="0"/>
        <v>37.5</v>
      </c>
    </row>
    <row r="8" spans="1:6" ht="16.5" x14ac:dyDescent="0.2">
      <c r="A8" s="78" t="s">
        <v>178</v>
      </c>
      <c r="B8" s="124" t="s">
        <v>294</v>
      </c>
      <c r="C8" s="73" t="s">
        <v>134</v>
      </c>
      <c r="D8" s="81">
        <v>15</v>
      </c>
      <c r="E8" s="64">
        <v>3.5</v>
      </c>
      <c r="F8" s="80">
        <f t="shared" si="0"/>
        <v>52.5</v>
      </c>
    </row>
    <row r="9" spans="1:6" ht="16.5" x14ac:dyDescent="0.2">
      <c r="A9" s="78" t="s">
        <v>128</v>
      </c>
      <c r="B9" s="124" t="s">
        <v>295</v>
      </c>
      <c r="C9" s="73" t="s">
        <v>134</v>
      </c>
      <c r="D9" s="81" t="s">
        <v>178</v>
      </c>
      <c r="E9" s="64">
        <v>5</v>
      </c>
      <c r="F9" s="80">
        <f t="shared" si="0"/>
        <v>15</v>
      </c>
    </row>
    <row r="10" spans="1:6" ht="16.5" x14ac:dyDescent="0.2">
      <c r="A10" s="78" t="s">
        <v>181</v>
      </c>
      <c r="B10" s="124" t="s">
        <v>296</v>
      </c>
      <c r="C10" s="73" t="s">
        <v>134</v>
      </c>
      <c r="D10" s="81" t="s">
        <v>139</v>
      </c>
      <c r="E10" s="64">
        <v>5</v>
      </c>
      <c r="F10" s="80">
        <f t="shared" ref="F10" si="1">E10*D10</f>
        <v>50</v>
      </c>
    </row>
    <row r="11" spans="1:6" ht="16.5" x14ac:dyDescent="0.2">
      <c r="A11" s="78" t="s">
        <v>183</v>
      </c>
      <c r="B11" s="124" t="s">
        <v>297</v>
      </c>
      <c r="C11" s="73" t="s">
        <v>134</v>
      </c>
      <c r="D11" s="81" t="s">
        <v>125</v>
      </c>
      <c r="E11" s="64">
        <v>5</v>
      </c>
      <c r="F11" s="80">
        <f t="shared" ref="F11" si="2">E11*D11</f>
        <v>5</v>
      </c>
    </row>
    <row r="12" spans="1:6" ht="16.5" x14ac:dyDescent="0.2">
      <c r="A12" s="78" t="s">
        <v>185</v>
      </c>
      <c r="B12" s="124" t="s">
        <v>298</v>
      </c>
      <c r="C12" s="73" t="s">
        <v>134</v>
      </c>
      <c r="D12" s="81">
        <v>15</v>
      </c>
      <c r="E12" s="64">
        <v>2.5</v>
      </c>
      <c r="F12" s="80">
        <f t="shared" si="0"/>
        <v>37.5</v>
      </c>
    </row>
    <row r="13" spans="1:6" ht="16.5" x14ac:dyDescent="0.2">
      <c r="A13" s="78" t="s">
        <v>188</v>
      </c>
      <c r="B13" s="124" t="s">
        <v>299</v>
      </c>
      <c r="C13" s="73" t="s">
        <v>300</v>
      </c>
      <c r="D13" s="81" t="s">
        <v>125</v>
      </c>
      <c r="E13" s="64">
        <v>20</v>
      </c>
      <c r="F13" s="80">
        <f t="shared" si="0"/>
        <v>20</v>
      </c>
    </row>
    <row r="14" spans="1:6" ht="16.5" x14ac:dyDescent="0.2">
      <c r="A14" s="78" t="s">
        <v>209</v>
      </c>
      <c r="B14" s="124" t="s">
        <v>301</v>
      </c>
      <c r="C14" s="73" t="s">
        <v>300</v>
      </c>
      <c r="D14" s="81" t="s">
        <v>125</v>
      </c>
      <c r="E14" s="64">
        <v>20</v>
      </c>
      <c r="F14" s="80">
        <f t="shared" si="0"/>
        <v>20</v>
      </c>
    </row>
    <row r="15" spans="1:6" ht="16.5" x14ac:dyDescent="0.2">
      <c r="A15" s="78" t="s">
        <v>139</v>
      </c>
      <c r="B15" s="124" t="s">
        <v>302</v>
      </c>
      <c r="C15" s="73" t="s">
        <v>300</v>
      </c>
      <c r="D15" s="81" t="s">
        <v>178</v>
      </c>
      <c r="E15" s="64">
        <v>20</v>
      </c>
      <c r="F15" s="80">
        <f t="shared" si="0"/>
        <v>60</v>
      </c>
    </row>
    <row r="16" spans="1:6" ht="16.5" x14ac:dyDescent="0.2">
      <c r="A16" s="78" t="s">
        <v>212</v>
      </c>
      <c r="B16" s="124" t="s">
        <v>303</v>
      </c>
      <c r="C16" s="73" t="s">
        <v>134</v>
      </c>
      <c r="D16" s="81" t="s">
        <v>181</v>
      </c>
      <c r="E16" s="64">
        <v>10</v>
      </c>
      <c r="F16" s="80">
        <f t="shared" si="0"/>
        <v>50</v>
      </c>
    </row>
    <row r="17" spans="1:6" ht="25.5" x14ac:dyDescent="0.2">
      <c r="A17" s="78" t="s">
        <v>214</v>
      </c>
      <c r="B17" s="124" t="s">
        <v>304</v>
      </c>
      <c r="C17" s="112" t="s">
        <v>134</v>
      </c>
      <c r="D17" s="113" t="s">
        <v>125</v>
      </c>
      <c r="E17" s="64">
        <v>150</v>
      </c>
      <c r="F17" s="80">
        <f t="shared" ref="F17" si="3">E17*D17</f>
        <v>150</v>
      </c>
    </row>
    <row r="18" spans="1:6" ht="12.75" customHeight="1" x14ac:dyDescent="0.2">
      <c r="A18" s="78" t="s">
        <v>202</v>
      </c>
      <c r="B18" s="124" t="s">
        <v>305</v>
      </c>
      <c r="C18" s="73" t="s">
        <v>134</v>
      </c>
      <c r="D18" s="81" t="s">
        <v>188</v>
      </c>
      <c r="E18" s="64">
        <v>10</v>
      </c>
      <c r="F18" s="80">
        <f t="shared" si="0"/>
        <v>80</v>
      </c>
    </row>
    <row r="19" spans="1:6" ht="54.75" customHeight="1" x14ac:dyDescent="0.2">
      <c r="A19" s="78" t="s">
        <v>217</v>
      </c>
      <c r="B19" s="124" t="s">
        <v>306</v>
      </c>
      <c r="C19" s="73" t="s">
        <v>134</v>
      </c>
      <c r="D19" s="81" t="s">
        <v>128</v>
      </c>
      <c r="E19" s="64">
        <v>25</v>
      </c>
      <c r="F19" s="80">
        <f t="shared" si="0"/>
        <v>100</v>
      </c>
    </row>
    <row r="20" spans="1:6" x14ac:dyDescent="0.2">
      <c r="A20" s="78" t="s">
        <v>219</v>
      </c>
      <c r="B20" s="124" t="s">
        <v>307</v>
      </c>
      <c r="C20" s="112" t="s">
        <v>134</v>
      </c>
      <c r="D20" s="113" t="s">
        <v>125</v>
      </c>
      <c r="E20" s="64">
        <v>20</v>
      </c>
      <c r="F20" s="80">
        <f t="shared" si="0"/>
        <v>20</v>
      </c>
    </row>
    <row r="21" spans="1:6" x14ac:dyDescent="0.2">
      <c r="A21" s="78" t="s">
        <v>221</v>
      </c>
      <c r="B21" s="124" t="s">
        <v>308</v>
      </c>
      <c r="C21" s="112" t="s">
        <v>134</v>
      </c>
      <c r="D21" s="113" t="s">
        <v>125</v>
      </c>
      <c r="E21" s="64">
        <v>25</v>
      </c>
      <c r="F21" s="80">
        <f t="shared" ref="F21:F22" si="4">E21*D21</f>
        <v>25</v>
      </c>
    </row>
    <row r="22" spans="1:6" x14ac:dyDescent="0.2">
      <c r="A22" s="78" t="s">
        <v>223</v>
      </c>
      <c r="B22" s="124" t="s">
        <v>309</v>
      </c>
      <c r="C22" s="112" t="s">
        <v>134</v>
      </c>
      <c r="D22" s="113" t="s">
        <v>125</v>
      </c>
      <c r="E22" s="64">
        <v>25</v>
      </c>
      <c r="F22" s="80">
        <f t="shared" si="4"/>
        <v>25</v>
      </c>
    </row>
    <row r="23" spans="1:6" ht="16.5" x14ac:dyDescent="0.2">
      <c r="A23" s="78" t="s">
        <v>225</v>
      </c>
      <c r="B23" s="125" t="s">
        <v>310</v>
      </c>
      <c r="C23" s="73" t="s">
        <v>134</v>
      </c>
      <c r="D23" s="81" t="s">
        <v>181</v>
      </c>
      <c r="E23" s="64">
        <v>25</v>
      </c>
      <c r="F23" s="80">
        <f t="shared" si="0"/>
        <v>125</v>
      </c>
    </row>
    <row r="24" spans="1:6" ht="67.5" customHeight="1" x14ac:dyDescent="0.2">
      <c r="A24" s="78" t="s">
        <v>227</v>
      </c>
      <c r="B24" s="124" t="s">
        <v>311</v>
      </c>
      <c r="C24" s="73" t="s">
        <v>134</v>
      </c>
      <c r="D24" s="81" t="s">
        <v>183</v>
      </c>
      <c r="E24" s="122">
        <v>30</v>
      </c>
      <c r="F24" s="80">
        <f t="shared" si="0"/>
        <v>180</v>
      </c>
    </row>
    <row r="25" spans="1:6" ht="57.75" customHeight="1" x14ac:dyDescent="0.2">
      <c r="A25" s="78" t="s">
        <v>229</v>
      </c>
      <c r="B25" s="124" t="s">
        <v>312</v>
      </c>
      <c r="C25" s="73" t="s">
        <v>134</v>
      </c>
      <c r="D25" s="81" t="s">
        <v>202</v>
      </c>
      <c r="E25" s="122">
        <v>50</v>
      </c>
      <c r="F25" s="80">
        <f t="shared" si="0"/>
        <v>650</v>
      </c>
    </row>
    <row r="26" spans="1:6" ht="51.75" customHeight="1" x14ac:dyDescent="0.2">
      <c r="A26" s="78" t="s">
        <v>231</v>
      </c>
      <c r="B26" s="124" t="s">
        <v>313</v>
      </c>
      <c r="C26" s="73" t="s">
        <v>134</v>
      </c>
      <c r="D26" s="81" t="s">
        <v>202</v>
      </c>
      <c r="E26" s="122">
        <v>15</v>
      </c>
      <c r="F26" s="80">
        <f t="shared" si="0"/>
        <v>195</v>
      </c>
    </row>
    <row r="27" spans="1:6" ht="16.5" x14ac:dyDescent="0.2">
      <c r="A27" s="78" t="s">
        <v>233</v>
      </c>
      <c r="B27" s="124" t="s">
        <v>314</v>
      </c>
      <c r="C27" s="73" t="s">
        <v>134</v>
      </c>
      <c r="D27" s="81" t="s">
        <v>124</v>
      </c>
      <c r="E27" s="122">
        <v>15</v>
      </c>
      <c r="F27" s="80">
        <f t="shared" ref="F27" si="5">E27*D27</f>
        <v>30</v>
      </c>
    </row>
    <row r="28" spans="1:6" ht="21" customHeight="1" x14ac:dyDescent="0.2">
      <c r="A28" s="78" t="s">
        <v>235</v>
      </c>
      <c r="B28" s="124" t="s">
        <v>315</v>
      </c>
      <c r="C28" s="126" t="s">
        <v>134</v>
      </c>
      <c r="D28" s="113" t="s">
        <v>124</v>
      </c>
      <c r="E28" s="88">
        <v>10</v>
      </c>
      <c r="F28" s="114">
        <f t="shared" si="0"/>
        <v>20</v>
      </c>
    </row>
    <row r="29" spans="1:6" ht="21" customHeight="1" x14ac:dyDescent="0.2">
      <c r="A29" s="78" t="s">
        <v>237</v>
      </c>
      <c r="B29" s="124" t="s">
        <v>316</v>
      </c>
      <c r="C29" s="126" t="s">
        <v>134</v>
      </c>
      <c r="D29" s="113" t="s">
        <v>124</v>
      </c>
      <c r="E29" s="88">
        <v>150</v>
      </c>
      <c r="F29" s="114">
        <f t="shared" ref="F29:F30" si="6">E29*D29</f>
        <v>300</v>
      </c>
    </row>
    <row r="30" spans="1:6" ht="21" customHeight="1" x14ac:dyDescent="0.2">
      <c r="A30" s="78" t="s">
        <v>239</v>
      </c>
      <c r="B30" s="124" t="s">
        <v>317</v>
      </c>
      <c r="C30" s="126" t="s">
        <v>134</v>
      </c>
      <c r="D30" s="113" t="s">
        <v>124</v>
      </c>
      <c r="E30" s="88">
        <v>150</v>
      </c>
      <c r="F30" s="114">
        <f t="shared" si="6"/>
        <v>300</v>
      </c>
    </row>
    <row r="31" spans="1:6" x14ac:dyDescent="0.2">
      <c r="A31" s="406" t="s">
        <v>318</v>
      </c>
      <c r="B31" s="399"/>
      <c r="C31" s="399"/>
      <c r="D31" s="399"/>
      <c r="E31" s="403"/>
      <c r="F31" s="118">
        <f>SUM(F6:F30)</f>
        <v>2570</v>
      </c>
    </row>
    <row r="32" spans="1:6" s="123" customFormat="1" ht="32.25" customHeight="1" x14ac:dyDescent="0.2">
      <c r="A32" s="408" t="s">
        <v>319</v>
      </c>
      <c r="B32" s="408"/>
      <c r="C32" s="408"/>
      <c r="D32" s="408"/>
      <c r="E32" s="408"/>
      <c r="F32" s="408"/>
    </row>
    <row r="33" spans="1:6" s="123" customFormat="1" ht="32.25" customHeight="1" x14ac:dyDescent="0.2">
      <c r="A33" s="407"/>
      <c r="B33" s="407"/>
      <c r="C33" s="407"/>
      <c r="D33" s="407"/>
      <c r="E33" s="407"/>
      <c r="F33" s="407"/>
    </row>
  </sheetData>
  <sheetProtection algorithmName="SHA-512" hashValue="6mu/56EuozlARCIgj271jFyxuA6N3PU+VOy/z3iUjZASYODvhzDZl0zLWc0BaTBtGyOzY53Ry6e8ogm3I5547A==" saltValue="Gp8r6a7mMb8ZQc+S2yjqSA==" spinCount="100000" sheet="1" objects="1" scenarios="1"/>
  <mergeCells count="6">
    <mergeCell ref="A31:E31"/>
    <mergeCell ref="A1:F1"/>
    <mergeCell ref="A2:F2"/>
    <mergeCell ref="A4:F4"/>
    <mergeCell ref="A33:F33"/>
    <mergeCell ref="A32:F32"/>
  </mergeCells>
  <phoneticPr fontId="18" type="noConversion"/>
  <pageMargins left="0.25" right="0.25" top="0.75" bottom="0.75" header="0.3" footer="0.3"/>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1"/>
  <sheetViews>
    <sheetView showGridLines="0" view="pageBreakPreview" topLeftCell="A16" zoomScaleNormal="100" zoomScaleSheetLayoutView="100" workbookViewId="0">
      <selection activeCell="B26" sqref="B26"/>
    </sheetView>
  </sheetViews>
  <sheetFormatPr defaultColWidth="9.140625" defaultRowHeight="12.75" x14ac:dyDescent="0.2"/>
  <cols>
    <col min="1" max="1" width="1.85546875" style="42" customWidth="1"/>
    <col min="2" max="2" width="59.140625" style="42" customWidth="1"/>
    <col min="3" max="3" width="18.85546875" style="42" customWidth="1"/>
    <col min="4" max="4" width="16" style="42" customWidth="1"/>
    <col min="5" max="5" width="16.140625" style="42" customWidth="1"/>
    <col min="6" max="6" width="13.42578125" style="42" bestFit="1" customWidth="1"/>
    <col min="7" max="8" width="13.7109375" style="42" customWidth="1"/>
    <col min="9" max="9" width="30.7109375" style="42" bestFit="1" customWidth="1"/>
    <col min="10" max="10" width="2" style="42" customWidth="1"/>
    <col min="11" max="16384" width="9.140625" style="42"/>
  </cols>
  <sheetData>
    <row r="1" spans="1:9" ht="16.5" customHeight="1" x14ac:dyDescent="0.2">
      <c r="A1"/>
      <c r="B1"/>
      <c r="C1"/>
      <c r="D1"/>
      <c r="E1"/>
      <c r="F1"/>
      <c r="G1"/>
      <c r="H1"/>
      <c r="I1"/>
    </row>
    <row r="2" spans="1:9" ht="12.75" customHeight="1" thickBot="1" x14ac:dyDescent="0.25">
      <c r="A2"/>
      <c r="B2" s="268" t="s">
        <v>143</v>
      </c>
      <c r="C2" s="268"/>
      <c r="D2" s="268"/>
      <c r="E2" s="268"/>
      <c r="F2" s="127"/>
      <c r="G2" s="127"/>
      <c r="H2" s="127"/>
      <c r="I2" s="127"/>
    </row>
    <row r="3" spans="1:9" ht="14.25" thickTop="1" thickBot="1" x14ac:dyDescent="0.25">
      <c r="A3"/>
      <c r="B3" s="296" t="s">
        <v>144</v>
      </c>
      <c r="C3" s="297"/>
      <c r="D3" s="297"/>
      <c r="E3" s="297"/>
      <c r="F3" s="297"/>
      <c r="G3" s="297"/>
      <c r="H3" s="297"/>
      <c r="I3" s="287" t="s">
        <v>145</v>
      </c>
    </row>
    <row r="4" spans="1:9" ht="24" customHeight="1" thickTop="1" thickBot="1" x14ac:dyDescent="0.25">
      <c r="A4"/>
      <c r="B4" s="290" t="s">
        <v>146</v>
      </c>
      <c r="C4" s="292" t="s">
        <v>147</v>
      </c>
      <c r="D4" s="292" t="s">
        <v>148</v>
      </c>
      <c r="E4" s="292" t="s">
        <v>149</v>
      </c>
      <c r="F4" s="292" t="s">
        <v>150</v>
      </c>
      <c r="G4" s="292" t="s">
        <v>151</v>
      </c>
      <c r="H4" s="294" t="s">
        <v>152</v>
      </c>
      <c r="I4" s="288"/>
    </row>
    <row r="5" spans="1:9" ht="16.5" customHeight="1" thickTop="1" thickBot="1" x14ac:dyDescent="0.25">
      <c r="A5"/>
      <c r="B5" s="291"/>
      <c r="C5" s="293"/>
      <c r="D5" s="293"/>
      <c r="E5" s="293"/>
      <c r="F5" s="293"/>
      <c r="G5" s="293"/>
      <c r="H5" s="295"/>
      <c r="I5" s="289"/>
    </row>
    <row r="6" spans="1:9" ht="23.1" customHeight="1" thickTop="1" x14ac:dyDescent="0.2">
      <c r="A6"/>
      <c r="B6" s="50" t="s">
        <v>153</v>
      </c>
      <c r="C6" s="128">
        <f>'CHEFE BRIG 12X36'!D150</f>
        <v>12527.726295383422</v>
      </c>
      <c r="D6" s="129" t="s">
        <v>124</v>
      </c>
      <c r="E6" s="130">
        <f t="shared" ref="E6:E11" si="0">C6*D6</f>
        <v>25055.452590766843</v>
      </c>
      <c r="F6" s="129" t="s">
        <v>125</v>
      </c>
      <c r="G6" s="130">
        <f>(E6*F6)</f>
        <v>25055.452590766843</v>
      </c>
      <c r="H6" s="131">
        <f>'RESERVA MENSAL IN 05'!M6</f>
        <v>3414.45</v>
      </c>
      <c r="I6" s="132">
        <f>G6-H6</f>
        <v>21641.002590766842</v>
      </c>
    </row>
    <row r="7" spans="1:9" ht="23.1" customHeight="1" x14ac:dyDescent="0.2">
      <c r="A7"/>
      <c r="B7" s="53" t="s">
        <v>126</v>
      </c>
      <c r="C7" s="128">
        <f>'CHEFE BRIG FOLGUISTA'!D150</f>
        <v>3276.7173092406224</v>
      </c>
      <c r="D7" s="129" t="s">
        <v>125</v>
      </c>
      <c r="E7" s="133">
        <f t="shared" si="0"/>
        <v>3276.7173092406224</v>
      </c>
      <c r="F7" s="129" t="s">
        <v>125</v>
      </c>
      <c r="G7" s="133">
        <f t="shared" ref="G7" si="1">(E7*F7)</f>
        <v>3276.7173092406224</v>
      </c>
      <c r="H7" s="134">
        <f>'RESERVA MENSAL IN 05'!M7</f>
        <v>415.76</v>
      </c>
      <c r="I7" s="132">
        <f>G7-H7</f>
        <v>2860.9573092406226</v>
      </c>
    </row>
    <row r="8" spans="1:9" ht="23.1" customHeight="1" x14ac:dyDescent="0.2">
      <c r="A8"/>
      <c r="B8" s="56" t="s">
        <v>154</v>
      </c>
      <c r="C8" s="135">
        <f>'BP 12X36 DIURNO'!D150</f>
        <v>10303.995621148208</v>
      </c>
      <c r="D8" s="136" t="s">
        <v>124</v>
      </c>
      <c r="E8" s="133">
        <f t="shared" si="0"/>
        <v>20607.991242296415</v>
      </c>
      <c r="F8" s="136" t="s">
        <v>128</v>
      </c>
      <c r="G8" s="133">
        <f>(E8*F8)</f>
        <v>82431.964969185661</v>
      </c>
      <c r="H8" s="134">
        <f>'RESERVA MENSAL IN 05'!M8</f>
        <v>11075.81</v>
      </c>
      <c r="I8" s="132">
        <f>G8-H8</f>
        <v>71356.154969185664</v>
      </c>
    </row>
    <row r="9" spans="1:9" ht="23.1" customHeight="1" x14ac:dyDescent="0.2">
      <c r="A9"/>
      <c r="B9" s="56" t="s">
        <v>129</v>
      </c>
      <c r="C9" s="135">
        <f>'BP DIURNO FOLGUISTA'!D150</f>
        <v>2749.0866674448116</v>
      </c>
      <c r="D9" s="136" t="s">
        <v>125</v>
      </c>
      <c r="E9" s="133">
        <f t="shared" si="0"/>
        <v>2749.0866674448116</v>
      </c>
      <c r="F9" s="136" t="s">
        <v>125</v>
      </c>
      <c r="G9" s="133">
        <f t="shared" ref="G9" si="2">(E9*F9)</f>
        <v>2749.0866674448116</v>
      </c>
      <c r="H9" s="134">
        <f>'RESERVA MENSAL IN 05'!M9</f>
        <v>339.18</v>
      </c>
      <c r="I9" s="132">
        <f>G9-H9</f>
        <v>2409.9066674448118</v>
      </c>
    </row>
    <row r="10" spans="1:9" ht="23.1" customHeight="1" x14ac:dyDescent="0.2">
      <c r="A10"/>
      <c r="B10" s="59" t="s">
        <v>155</v>
      </c>
      <c r="C10" s="135">
        <f>'BP 12X36 NOTURNO'!D150</f>
        <v>11172.375072202656</v>
      </c>
      <c r="D10" s="136" t="s">
        <v>124</v>
      </c>
      <c r="E10" s="133">
        <f t="shared" ref="E10" si="3">C10*D10</f>
        <v>22344.750144405312</v>
      </c>
      <c r="F10" s="136" t="s">
        <v>124</v>
      </c>
      <c r="G10" s="133">
        <f>(E10*F10)</f>
        <v>44689.500288810625</v>
      </c>
      <c r="H10" s="134">
        <f>'RESERVA MENSAL IN 05'!M10</f>
        <v>6042.05</v>
      </c>
      <c r="I10" s="132">
        <f t="shared" ref="I10" si="4">G10-H10</f>
        <v>38647.450288810622</v>
      </c>
    </row>
    <row r="11" spans="1:9" ht="23.1" customHeight="1" x14ac:dyDescent="0.2">
      <c r="A11"/>
      <c r="B11" s="59" t="s">
        <v>131</v>
      </c>
      <c r="C11" s="135">
        <f>'BP NOTURNO FOLGUISTA'!D150</f>
        <v>2817.7747973330975</v>
      </c>
      <c r="D11" s="136" t="s">
        <v>125</v>
      </c>
      <c r="E11" s="133">
        <f t="shared" si="0"/>
        <v>2817.7747973330975</v>
      </c>
      <c r="F11" s="136" t="s">
        <v>125</v>
      </c>
      <c r="G11" s="133">
        <f>(E11*F11)</f>
        <v>2817.7747973330975</v>
      </c>
      <c r="H11" s="134">
        <f>'RESERVA MENSAL IN 05'!M11</f>
        <v>349.15</v>
      </c>
      <c r="I11" s="132">
        <f t="shared" ref="I11" si="5">G11-H11</f>
        <v>2468.6247973330974</v>
      </c>
    </row>
    <row r="12" spans="1:9" ht="13.5" thickBot="1" x14ac:dyDescent="0.25">
      <c r="A12"/>
      <c r="B12" s="280"/>
      <c r="C12" s="280"/>
      <c r="D12" s="280"/>
      <c r="E12" s="280"/>
      <c r="F12" s="138" t="s">
        <v>156</v>
      </c>
      <c r="G12" s="139">
        <f>ROUND((SUM(G6:G11)),2)</f>
        <v>161020.5</v>
      </c>
      <c r="H12" s="139">
        <f>SUM(H6:H11)</f>
        <v>21636.400000000001</v>
      </c>
      <c r="I12" s="140">
        <f>SUM(I6:I11)</f>
        <v>139384.09662278165</v>
      </c>
    </row>
    <row r="13" spans="1:9" ht="14.25" thickTop="1" thickBot="1" x14ac:dyDescent="0.25">
      <c r="A13"/>
      <c r="B13" s="137"/>
      <c r="C13" s="137"/>
      <c r="D13" s="137"/>
      <c r="E13" s="137"/>
      <c r="F13"/>
      <c r="G13"/>
      <c r="H13"/>
      <c r="I13"/>
    </row>
    <row r="14" spans="1:9" ht="13.5" thickBot="1" x14ac:dyDescent="0.25">
      <c r="A14"/>
      <c r="B14" s="141"/>
      <c r="C14" s="142" t="s">
        <v>157</v>
      </c>
      <c r="D14" s="137"/>
      <c r="E14" s="137"/>
      <c r="F14"/>
      <c r="G14"/>
      <c r="H14"/>
      <c r="I14"/>
    </row>
    <row r="15" spans="1:9" x14ac:dyDescent="0.2">
      <c r="A15"/>
      <c r="B15" s="143" t="s">
        <v>158</v>
      </c>
      <c r="C15" s="61">
        <f>MATERIAIS!F31</f>
        <v>2570</v>
      </c>
      <c r="D15" s="137"/>
      <c r="E15" s="137"/>
      <c r="F15" s="144"/>
      <c r="G15"/>
      <c r="H15"/>
      <c r="I15"/>
    </row>
    <row r="16" spans="1:9" x14ac:dyDescent="0.2">
      <c r="A16"/>
      <c r="B16"/>
      <c r="C16"/>
      <c r="D16"/>
      <c r="E16" s="137"/>
      <c r="F16" s="144"/>
      <c r="G16"/>
      <c r="H16"/>
      <c r="I16"/>
    </row>
    <row r="17" spans="1:9" x14ac:dyDescent="0.2">
      <c r="A17"/>
      <c r="B17" s="141"/>
      <c r="C17" s="142" t="s">
        <v>157</v>
      </c>
      <c r="D17" s="137"/>
      <c r="E17" s="137"/>
      <c r="F17"/>
      <c r="G17"/>
      <c r="H17"/>
      <c r="I17"/>
    </row>
    <row r="18" spans="1:9" x14ac:dyDescent="0.2">
      <c r="A18"/>
      <c r="B18" s="143" t="s">
        <v>159</v>
      </c>
      <c r="C18" s="61">
        <f>TREINAMENTOS!G6/60</f>
        <v>33.333333333333336</v>
      </c>
      <c r="D18" s="137"/>
      <c r="E18" s="137"/>
      <c r="F18" s="144"/>
      <c r="G18"/>
      <c r="H18"/>
      <c r="I18"/>
    </row>
    <row r="19" spans="1:9" ht="13.5" thickBot="1" x14ac:dyDescent="0.25">
      <c r="A19"/>
      <c r="B19" s="137"/>
      <c r="C19" s="137"/>
      <c r="D19" s="137"/>
      <c r="E19" s="137"/>
      <c r="F19" s="144"/>
      <c r="G19"/>
      <c r="H19"/>
      <c r="I19"/>
    </row>
    <row r="20" spans="1:9" s="60" customFormat="1" ht="14.25" customHeight="1" thickBot="1" x14ac:dyDescent="0.25">
      <c r="A20" s="144"/>
      <c r="B20" s="144"/>
      <c r="C20" s="142" t="s">
        <v>157</v>
      </c>
      <c r="D20" s="144"/>
      <c r="E20" s="144"/>
      <c r="F20" s="144"/>
      <c r="G20" s="144"/>
      <c r="H20" s="144"/>
      <c r="I20" s="144"/>
    </row>
    <row r="21" spans="1:9" s="60" customFormat="1" ht="14.25" customHeight="1" x14ac:dyDescent="0.2">
      <c r="A21" s="144"/>
      <c r="B21" s="143" t="s">
        <v>333</v>
      </c>
      <c r="C21" s="61">
        <f>EQUIPAMENTOS!F55</f>
        <v>202.21666666666667</v>
      </c>
      <c r="D21" s="144"/>
      <c r="E21" s="144"/>
      <c r="F21" s="144"/>
      <c r="G21" s="144"/>
      <c r="H21" s="144"/>
      <c r="I21" s="144"/>
    </row>
    <row r="22" spans="1:9" s="60" customFormat="1" ht="14.25" customHeight="1" thickBot="1" x14ac:dyDescent="0.25">
      <c r="A22" s="144"/>
      <c r="B22" s="144"/>
      <c r="C22" s="144"/>
      <c r="D22" s="144"/>
      <c r="E22" s="144"/>
      <c r="F22" s="144"/>
      <c r="G22" s="144"/>
      <c r="H22" s="144"/>
      <c r="I22" s="144"/>
    </row>
    <row r="23" spans="1:9" ht="19.899999999999999" customHeight="1" thickTop="1" thickBot="1" x14ac:dyDescent="0.25">
      <c r="A23"/>
      <c r="B23" s="281" t="s">
        <v>329</v>
      </c>
      <c r="C23" s="281"/>
      <c r="D23" s="281"/>
      <c r="E23" s="282"/>
      <c r="F23"/>
      <c r="G23"/>
      <c r="H23"/>
      <c r="I23"/>
    </row>
    <row r="24" spans="1:9" ht="13.5" thickTop="1" x14ac:dyDescent="0.2">
      <c r="A24"/>
      <c r="B24" s="283" t="s">
        <v>160</v>
      </c>
      <c r="C24" s="145" t="s">
        <v>161</v>
      </c>
      <c r="D24" s="285" t="s">
        <v>331</v>
      </c>
      <c r="E24" s="285"/>
      <c r="F24"/>
      <c r="G24"/>
      <c r="H24"/>
      <c r="I24" s="146"/>
    </row>
    <row r="25" spans="1:9" x14ac:dyDescent="0.2">
      <c r="A25"/>
      <c r="B25" s="284"/>
      <c r="C25" s="145" t="s">
        <v>162</v>
      </c>
      <c r="D25" s="274"/>
      <c r="E25" s="274"/>
      <c r="F25"/>
      <c r="G25"/>
      <c r="H25"/>
      <c r="I25" s="146"/>
    </row>
    <row r="26" spans="1:9" ht="13.5" thickBot="1" x14ac:dyDescent="0.25">
      <c r="A26"/>
      <c r="B26" s="147">
        <f>ROUND(I12+C15+C18+C21,2)</f>
        <v>142189.65</v>
      </c>
      <c r="C26" s="148">
        <v>60</v>
      </c>
      <c r="D26" s="286">
        <f>C26*B26</f>
        <v>8531379</v>
      </c>
      <c r="E26" s="286"/>
      <c r="F26"/>
      <c r="G26"/>
      <c r="H26"/>
      <c r="I26" s="146"/>
    </row>
    <row r="27" spans="1:9" ht="13.5" thickTop="1" x14ac:dyDescent="0.2">
      <c r="A27"/>
      <c r="B27" s="269" t="s">
        <v>163</v>
      </c>
      <c r="C27" s="149" t="s">
        <v>161</v>
      </c>
      <c r="D27" s="271" t="s">
        <v>330</v>
      </c>
      <c r="E27" s="272"/>
      <c r="F27"/>
      <c r="G27"/>
      <c r="H27"/>
      <c r="I27" s="146"/>
    </row>
    <row r="28" spans="1:9" x14ac:dyDescent="0.2">
      <c r="A28"/>
      <c r="B28" s="270" t="s">
        <v>160</v>
      </c>
      <c r="C28" s="150" t="s">
        <v>162</v>
      </c>
      <c r="D28" s="273" t="s">
        <v>164</v>
      </c>
      <c r="E28" s="274"/>
      <c r="F28"/>
      <c r="G28"/>
      <c r="H28"/>
      <c r="I28" s="146"/>
    </row>
    <row r="29" spans="1:9" x14ac:dyDescent="0.2">
      <c r="A29"/>
      <c r="B29" s="151">
        <f>ROUND(G12+C15+C18+C21,2)</f>
        <v>163826.04999999999</v>
      </c>
      <c r="C29" s="152">
        <v>60</v>
      </c>
      <c r="D29" s="275">
        <f>B29*C29</f>
        <v>9829563</v>
      </c>
      <c r="E29" s="275"/>
      <c r="F29"/>
      <c r="G29"/>
      <c r="H29"/>
      <c r="I29"/>
    </row>
    <row r="30" spans="1:9" ht="20.25" customHeight="1" thickTop="1" thickBot="1" x14ac:dyDescent="0.25">
      <c r="A30"/>
      <c r="B30" s="276" t="s">
        <v>165</v>
      </c>
      <c r="C30" s="277"/>
      <c r="D30" s="278">
        <f>D29</f>
        <v>9829563</v>
      </c>
      <c r="E30" s="279"/>
      <c r="F30"/>
      <c r="G30"/>
      <c r="H30"/>
      <c r="I30" s="146"/>
    </row>
    <row r="31" spans="1:9" ht="27.75" customHeight="1" thickTop="1" x14ac:dyDescent="0.2">
      <c r="A31"/>
      <c r="B31"/>
      <c r="C31"/>
      <c r="D31"/>
      <c r="E31"/>
      <c r="F31"/>
      <c r="G31"/>
      <c r="H31"/>
      <c r="I31"/>
    </row>
  </sheetData>
  <sheetProtection algorithmName="SHA-512" hashValue="ZDOGrutfuU8APpTI93p2ogVyd5pmZ5m4wBbWbhUgtn9CDTYLCyjOqI9ZXhnlRXR/hRcI6wNxuDIw7B7iKJBgXQ==" saltValue="suvkDUDG6jUG8kp2TAYyFQ==" spinCount="100000" sheet="1" objects="1" scenarios="1"/>
  <mergeCells count="20">
    <mergeCell ref="I3:I5"/>
    <mergeCell ref="B4:B5"/>
    <mergeCell ref="C4:C5"/>
    <mergeCell ref="D4:D5"/>
    <mergeCell ref="E4:E5"/>
    <mergeCell ref="F4:F5"/>
    <mergeCell ref="H4:H5"/>
    <mergeCell ref="B3:H3"/>
    <mergeCell ref="G4:G5"/>
    <mergeCell ref="B2:E2"/>
    <mergeCell ref="B27:B28"/>
    <mergeCell ref="D27:E28"/>
    <mergeCell ref="D29:E29"/>
    <mergeCell ref="B30:C30"/>
    <mergeCell ref="D30:E30"/>
    <mergeCell ref="B12:E12"/>
    <mergeCell ref="B23:E23"/>
    <mergeCell ref="B24:B25"/>
    <mergeCell ref="D24:E25"/>
    <mergeCell ref="D26:E26"/>
  </mergeCells>
  <pageMargins left="0.25" right="0.25" top="0.75" bottom="0.75" header="0.3" footer="0.3"/>
  <pageSetup paperSize="9" scale="78" orientation="landscape" r:id="rId1"/>
  <ignoredErrors>
    <ignoredError sqref="C6 C8:C11" unlockedFormula="1"/>
    <ignoredError sqref="D10:D11 F6:F11 D6:D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2"/>
  <sheetViews>
    <sheetView showGridLines="0" topLeftCell="A7" workbookViewId="0">
      <selection activeCell="M18" sqref="M18"/>
    </sheetView>
  </sheetViews>
  <sheetFormatPr defaultColWidth="9.140625" defaultRowHeight="12.75" x14ac:dyDescent="0.2"/>
  <cols>
    <col min="1" max="1" width="9.140625" style="42"/>
    <col min="2" max="2" width="32.5703125" style="42" customWidth="1"/>
    <col min="3" max="3" width="11.7109375" style="42" customWidth="1"/>
    <col min="4" max="4" width="13.42578125" style="42" bestFit="1" customWidth="1"/>
    <col min="5" max="5" width="12.85546875" style="42" customWidth="1"/>
    <col min="6" max="6" width="12.28515625" style="42" bestFit="1" customWidth="1"/>
    <col min="7" max="7" width="13.28515625" style="42" customWidth="1"/>
    <col min="8" max="8" width="13" style="42" customWidth="1"/>
    <col min="9" max="9" width="19.7109375" style="42" customWidth="1"/>
    <col min="10" max="10" width="17.42578125" style="42" customWidth="1"/>
    <col min="11" max="11" width="17" style="42" bestFit="1" customWidth="1"/>
    <col min="12" max="12" width="17.42578125" style="42" customWidth="1"/>
    <col min="13" max="13" width="18.42578125" style="42" customWidth="1"/>
    <col min="14" max="16384" width="9.140625" style="42"/>
  </cols>
  <sheetData>
    <row r="1" spans="2:13" x14ac:dyDescent="0.2">
      <c r="B1"/>
      <c r="C1"/>
      <c r="D1"/>
      <c r="E1"/>
      <c r="F1"/>
      <c r="G1"/>
      <c r="H1"/>
      <c r="I1"/>
      <c r="J1"/>
      <c r="K1"/>
      <c r="L1"/>
      <c r="M1"/>
    </row>
    <row r="2" spans="2:13" ht="19.5" customHeight="1" x14ac:dyDescent="0.2">
      <c r="B2" s="301" t="s">
        <v>108</v>
      </c>
      <c r="C2" s="302"/>
      <c r="D2" s="302"/>
      <c r="E2" s="302"/>
      <c r="F2" s="302"/>
      <c r="G2" s="302"/>
      <c r="H2" s="302"/>
      <c r="I2" s="302"/>
      <c r="J2" s="302"/>
      <c r="K2" s="302"/>
      <c r="L2" s="302"/>
      <c r="M2" s="303"/>
    </row>
    <row r="3" spans="2:13" ht="35.25" customHeight="1" x14ac:dyDescent="0.2">
      <c r="B3" s="304" t="s">
        <v>109</v>
      </c>
      <c r="C3" s="307" t="s">
        <v>110</v>
      </c>
      <c r="D3" s="310" t="s">
        <v>111</v>
      </c>
      <c r="E3" s="313" t="s">
        <v>112</v>
      </c>
      <c r="F3" s="314"/>
      <c r="G3" s="314"/>
      <c r="H3" s="314"/>
      <c r="I3" s="314"/>
      <c r="J3" s="314"/>
      <c r="K3" s="314"/>
      <c r="L3" s="315"/>
      <c r="M3" s="316" t="s">
        <v>113</v>
      </c>
    </row>
    <row r="4" spans="2:13" ht="36" customHeight="1" x14ac:dyDescent="0.2">
      <c r="B4" s="305"/>
      <c r="C4" s="308"/>
      <c r="D4" s="311"/>
      <c r="E4" s="319" t="s">
        <v>114</v>
      </c>
      <c r="F4" s="319" t="s">
        <v>115</v>
      </c>
      <c r="G4" s="319" t="s">
        <v>116</v>
      </c>
      <c r="H4" s="319" t="s">
        <v>117</v>
      </c>
      <c r="I4" s="313" t="s">
        <v>118</v>
      </c>
      <c r="J4" s="314"/>
      <c r="K4" s="314"/>
      <c r="L4" s="319" t="s">
        <v>119</v>
      </c>
      <c r="M4" s="317"/>
    </row>
    <row r="5" spans="2:13" ht="42.75" customHeight="1" x14ac:dyDescent="0.2">
      <c r="B5" s="306"/>
      <c r="C5" s="309"/>
      <c r="D5" s="312"/>
      <c r="E5" s="320"/>
      <c r="F5" s="320"/>
      <c r="G5" s="320"/>
      <c r="H5" s="320"/>
      <c r="I5" s="47" t="s">
        <v>120</v>
      </c>
      <c r="J5" s="48" t="s">
        <v>121</v>
      </c>
      <c r="K5" s="49" t="s">
        <v>122</v>
      </c>
      <c r="L5" s="320"/>
      <c r="M5" s="318"/>
    </row>
    <row r="6" spans="2:13" ht="33.75" customHeight="1" x14ac:dyDescent="0.2">
      <c r="B6" s="50" t="s">
        <v>123</v>
      </c>
      <c r="C6" s="51" t="s">
        <v>124</v>
      </c>
      <c r="D6" s="52" t="s">
        <v>125</v>
      </c>
      <c r="E6" s="3">
        <f>'CHEFE BRIG 12X36'!D25</f>
        <v>492.60575</v>
      </c>
      <c r="F6" s="3">
        <f>'CHEFE BRIG 12X36'!D26</f>
        <v>656.80766666666671</v>
      </c>
      <c r="G6" s="3">
        <f>'CHEFE BRIG 12X36'!D100</f>
        <v>0.73481999727500003</v>
      </c>
      <c r="H6" s="3">
        <f>'CHEFE BRIG 12X36'!D76</f>
        <v>226.21684927144335</v>
      </c>
      <c r="I6" s="3">
        <f t="shared" ref="I6:I11" si="0">K6/J6*12</f>
        <v>263.63478073890906</v>
      </c>
      <c r="J6" s="4">
        <f>SUM('CHEFE BRIG 12X36'!C85:C90)</f>
        <v>15.059999999999999</v>
      </c>
      <c r="K6" s="3">
        <f>'CHEFE BRIG 12X36'!D91</f>
        <v>330.86164982733089</v>
      </c>
      <c r="L6" s="3">
        <f t="shared" ref="L6:L11" si="1">$K6+$H6+$F6+$E6+$G6</f>
        <v>1707.2267357627161</v>
      </c>
      <c r="M6" s="8">
        <f t="shared" ref="M6:M11" si="2">ROUND(($L6*$D6*$C6),2)</f>
        <v>3414.45</v>
      </c>
    </row>
    <row r="7" spans="2:13" ht="33.75" customHeight="1" x14ac:dyDescent="0.2">
      <c r="B7" s="53" t="s">
        <v>126</v>
      </c>
      <c r="C7" s="54" t="s">
        <v>125</v>
      </c>
      <c r="D7" s="55" t="s">
        <v>125</v>
      </c>
      <c r="E7" s="6">
        <f>'CHEFE BRIG FOLGUISTA'!D25</f>
        <v>116.88190977272728</v>
      </c>
      <c r="F7" s="6">
        <f>'CHEFE BRIG FOLGUISTA'!D26</f>
        <v>155.84254636363639</v>
      </c>
      <c r="G7" s="6">
        <f>'CHEFE BRIG FOLGUISTA'!D100</f>
        <v>0.1743527448079773</v>
      </c>
      <c r="H7" s="6">
        <f>'CHEFE BRIG FOLGUISTA'!D76</f>
        <v>53.675088781678838</v>
      </c>
      <c r="I7" s="1">
        <f t="shared" si="0"/>
        <v>71.067718485424024</v>
      </c>
      <c r="J7" s="7">
        <f>SUM('CHEFE BRIG FOLGUISTA'!C85:C90)</f>
        <v>15.059999999999999</v>
      </c>
      <c r="K7" s="6">
        <f>'CHEFE BRIG FOLGUISTA'!D91</f>
        <v>89.189986699207154</v>
      </c>
      <c r="L7" s="1">
        <f t="shared" si="1"/>
        <v>415.76388436205764</v>
      </c>
      <c r="M7" s="9">
        <f t="shared" si="2"/>
        <v>415.76</v>
      </c>
    </row>
    <row r="8" spans="2:13" ht="35.25" customHeight="1" x14ac:dyDescent="0.2">
      <c r="B8" s="56" t="s">
        <v>127</v>
      </c>
      <c r="C8" s="57" t="s">
        <v>124</v>
      </c>
      <c r="D8" s="58" t="s">
        <v>128</v>
      </c>
      <c r="E8" s="1">
        <f>'BP 12X36 DIURNO'!D25</f>
        <v>397.50424999999996</v>
      </c>
      <c r="F8" s="1">
        <f>'BP 12X36 DIURNO'!D26</f>
        <v>530.00566666666657</v>
      </c>
      <c r="G8" s="1">
        <f>'BP 12X36 DIURNO'!D100</f>
        <v>0.59295708972499994</v>
      </c>
      <c r="H8" s="1">
        <f>'BP 12X36 DIURNO'!D76</f>
        <v>182.54386800602333</v>
      </c>
      <c r="I8" s="1">
        <f t="shared" si="0"/>
        <v>218.19110475065756</v>
      </c>
      <c r="J8" s="2">
        <f>SUM('BP 12X36 DIURNO'!C85:C90)</f>
        <v>15.059999999999999</v>
      </c>
      <c r="K8" s="1">
        <f>'BP 12X36 DIURNO'!D91</f>
        <v>273.82983646207521</v>
      </c>
      <c r="L8" s="1">
        <f t="shared" si="1"/>
        <v>1384.4765782244899</v>
      </c>
      <c r="M8" s="9">
        <f t="shared" si="2"/>
        <v>11075.81</v>
      </c>
    </row>
    <row r="9" spans="2:13" ht="35.25" customHeight="1" x14ac:dyDescent="0.2">
      <c r="B9" s="56" t="s">
        <v>129</v>
      </c>
      <c r="C9" s="54" t="s">
        <v>125</v>
      </c>
      <c r="D9" s="55" t="s">
        <v>125</v>
      </c>
      <c r="E9" s="1">
        <f>'BP DIURNO FOLGUISTA'!D25</f>
        <v>94.316917499999988</v>
      </c>
      <c r="F9" s="1">
        <f>'BP DIURNO FOLGUISTA'!D26</f>
        <v>125.75588999999998</v>
      </c>
      <c r="G9" s="1">
        <f>'BP DIURNO FOLGUISTA'!D100</f>
        <v>0.14069254583474997</v>
      </c>
      <c r="H9" s="1">
        <f>'BP DIURNO FOLGUISTA'!D76</f>
        <v>43.312681408701899</v>
      </c>
      <c r="I9" s="1">
        <f t="shared" si="0"/>
        <v>60.285173546393409</v>
      </c>
      <c r="J9" s="2">
        <f>SUM('BP DIURNO FOLGUISTA'!C85:C90)</f>
        <v>15.059999999999999</v>
      </c>
      <c r="K9" s="1">
        <f>'BP DIURNO FOLGUISTA'!D91</f>
        <v>75.657892800723729</v>
      </c>
      <c r="L9" s="1">
        <f t="shared" si="1"/>
        <v>339.18407425526033</v>
      </c>
      <c r="M9" s="9">
        <f t="shared" si="2"/>
        <v>339.18</v>
      </c>
    </row>
    <row r="10" spans="2:13" ht="33.75" customHeight="1" x14ac:dyDescent="0.2">
      <c r="B10" s="59" t="s">
        <v>130</v>
      </c>
      <c r="C10" s="57" t="s">
        <v>124</v>
      </c>
      <c r="D10" s="57" t="s">
        <v>124</v>
      </c>
      <c r="E10" s="1">
        <f>'BP 12X36 NOTURNO'!D25</f>
        <v>434.64192558333326</v>
      </c>
      <c r="F10" s="1">
        <f>'BP 12X36 NOTURNO'!D26</f>
        <v>579.52256744444435</v>
      </c>
      <c r="G10" s="1">
        <f>'BP 12X36 NOTURNO'!D100</f>
        <v>0.64835536039265829</v>
      </c>
      <c r="H10" s="1">
        <f>'BP 12X36 NOTURNO'!D76</f>
        <v>199.59841509510358</v>
      </c>
      <c r="I10" s="1">
        <f t="shared" si="0"/>
        <v>235.9371181801597</v>
      </c>
      <c r="J10" s="2">
        <f>SUM('BP 12X36 NOTURNO'!C85:C90)</f>
        <v>15.059999999999999</v>
      </c>
      <c r="K10" s="1">
        <f>'BP 12X36 NOTURNO'!D91</f>
        <v>296.10108331610036</v>
      </c>
      <c r="L10" s="1">
        <f t="shared" si="1"/>
        <v>1510.5123467993742</v>
      </c>
      <c r="M10" s="9">
        <f t="shared" si="2"/>
        <v>6042.05</v>
      </c>
    </row>
    <row r="11" spans="2:13" ht="33.75" customHeight="1" x14ac:dyDescent="0.2">
      <c r="B11" s="59" t="s">
        <v>131</v>
      </c>
      <c r="C11" s="54" t="s">
        <v>125</v>
      </c>
      <c r="D11" s="55" t="s">
        <v>125</v>
      </c>
      <c r="E11" s="1">
        <f>'BP NOTURNO FOLGUISTA'!D25</f>
        <v>97.25447835674241</v>
      </c>
      <c r="F11" s="1">
        <f>'BP NOTURNO FOLGUISTA'!D26</f>
        <v>129.67263780898989</v>
      </c>
      <c r="G11" s="1">
        <f>'BP NOTURNO FOLGUISTA'!D100</f>
        <v>0.14507450536475264</v>
      </c>
      <c r="H11" s="1">
        <f>'BP NOTURNO FOLGUISTA'!D76</f>
        <v>44.661682636469521</v>
      </c>
      <c r="I11" s="1">
        <f t="shared" si="0"/>
        <v>61.68886921648874</v>
      </c>
      <c r="J11" s="2">
        <f>SUM('BP NOTURNO FOLGUISTA'!C85:C90)</f>
        <v>15.059999999999999</v>
      </c>
      <c r="K11" s="1">
        <f>'BP NOTURNO FOLGUISTA'!D91</f>
        <v>77.419530866693364</v>
      </c>
      <c r="L11" s="1">
        <f t="shared" si="1"/>
        <v>349.15340417425995</v>
      </c>
      <c r="M11" s="9">
        <f t="shared" si="2"/>
        <v>349.15</v>
      </c>
    </row>
    <row r="12" spans="2:13" ht="20.25" customHeight="1" x14ac:dyDescent="0.2">
      <c r="B12" s="298" t="s">
        <v>132</v>
      </c>
      <c r="C12" s="299"/>
      <c r="D12" s="299"/>
      <c r="E12" s="299"/>
      <c r="F12" s="299"/>
      <c r="G12" s="299"/>
      <c r="H12" s="299"/>
      <c r="I12" s="299"/>
      <c r="J12" s="299"/>
      <c r="K12" s="299"/>
      <c r="L12" s="300"/>
      <c r="M12" s="5">
        <f>SUM(M6:M11)</f>
        <v>21636.400000000001</v>
      </c>
    </row>
    <row r="13" spans="2:13" x14ac:dyDescent="0.2">
      <c r="C13" s="43"/>
    </row>
    <row r="14" spans="2:13" x14ac:dyDescent="0.2">
      <c r="C14" s="43"/>
    </row>
    <row r="17" spans="1:1" ht="16.5" customHeight="1" x14ac:dyDescent="0.2"/>
    <row r="18" spans="1:1" ht="12.75" customHeight="1" x14ac:dyDescent="0.2"/>
    <row r="19" spans="1:1" x14ac:dyDescent="0.2">
      <c r="A19" s="44"/>
    </row>
    <row r="21" spans="1:1" ht="30.75" customHeight="1" x14ac:dyDescent="0.2"/>
    <row r="22" spans="1:1" ht="17.25" customHeight="1" x14ac:dyDescent="0.2"/>
  </sheetData>
  <sheetProtection algorithmName="SHA-512" hashValue="2Z3A8JUKuUS3Hvzj7V9GhywHrTSAkDF6D7IxBNdPX2qW77H/8wT3XtiQu3X+C7deGMDa5bBiDXLqh6PfVjWMfw==" saltValue="WY1O0G3hpgf8NSfOv5tMLw==" spinCount="100000" sheet="1" objects="1" scenarios="1"/>
  <mergeCells count="13">
    <mergeCell ref="B12:L12"/>
    <mergeCell ref="B2:M2"/>
    <mergeCell ref="B3:B5"/>
    <mergeCell ref="C3:C5"/>
    <mergeCell ref="D3:D5"/>
    <mergeCell ref="E3:L3"/>
    <mergeCell ref="M3:M5"/>
    <mergeCell ref="E4:E5"/>
    <mergeCell ref="F4:F5"/>
    <mergeCell ref="G4:G5"/>
    <mergeCell ref="H4:H5"/>
    <mergeCell ref="I4:K4"/>
    <mergeCell ref="L4:L5"/>
  </mergeCells>
  <pageMargins left="0.23622047244094491" right="0.23622047244094491"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150"/>
  <sheetViews>
    <sheetView showGridLines="0" workbookViewId="0">
      <selection activeCell="C132" sqref="C132"/>
    </sheetView>
  </sheetViews>
  <sheetFormatPr defaultColWidth="9.140625" defaultRowHeight="15.75" x14ac:dyDescent="0.25"/>
  <cols>
    <col min="1" max="1" width="9.140625" style="21"/>
    <col min="2" max="2" width="72.140625" style="21" customWidth="1"/>
    <col min="3" max="3" width="18.7109375" style="21" customWidth="1"/>
    <col min="4" max="4" width="19.28515625" style="21" customWidth="1"/>
    <col min="5" max="5" width="15.140625" style="21" customWidth="1"/>
    <col min="6" max="6" width="10.7109375" style="21" bestFit="1" customWidth="1"/>
    <col min="7" max="7" width="11.7109375" style="21" bestFit="1" customWidth="1"/>
    <col min="8" max="8" width="9.140625" style="21"/>
    <col min="9" max="9" width="10.7109375" style="21" bestFit="1" customWidth="1"/>
    <col min="10" max="10" width="13.5703125" style="21" bestFit="1" customWidth="1"/>
    <col min="11" max="16384" width="9.140625" style="21"/>
  </cols>
  <sheetData>
    <row r="1" spans="1:14" x14ac:dyDescent="0.25">
      <c r="A1" s="328" t="s">
        <v>0</v>
      </c>
      <c r="B1" s="329"/>
      <c r="C1" s="329"/>
      <c r="D1" s="329"/>
    </row>
    <row r="2" spans="1:14" x14ac:dyDescent="0.25">
      <c r="A2" s="153" t="s">
        <v>1</v>
      </c>
      <c r="B2" s="153"/>
      <c r="C2" s="153"/>
      <c r="D2" s="153"/>
    </row>
    <row r="3" spans="1:14" ht="16.5" thickBot="1" x14ac:dyDescent="0.3">
      <c r="A3" s="154"/>
      <c r="B3" s="154"/>
      <c r="C3" s="153"/>
      <c r="D3" s="153"/>
    </row>
    <row r="4" spans="1:14" ht="16.5" thickBot="1" x14ac:dyDescent="0.3">
      <c r="A4" s="334" t="s">
        <v>2</v>
      </c>
      <c r="B4" s="335"/>
      <c r="C4" s="336" t="s">
        <v>3</v>
      </c>
      <c r="D4" s="337"/>
    </row>
    <row r="5" spans="1:14" ht="16.5" thickBot="1" x14ac:dyDescent="0.3">
      <c r="A5" s="332" t="s">
        <v>395</v>
      </c>
      <c r="B5" s="332"/>
      <c r="C5" s="333"/>
      <c r="D5" s="333"/>
    </row>
    <row r="6" spans="1:14" ht="16.5" thickBot="1" x14ac:dyDescent="0.3">
      <c r="A6" s="332" t="s">
        <v>396</v>
      </c>
      <c r="B6" s="332"/>
      <c r="C6" s="332"/>
      <c r="D6" s="332"/>
    </row>
    <row r="7" spans="1:14" ht="16.5" thickBot="1" x14ac:dyDescent="0.3">
      <c r="A7" s="338" t="s">
        <v>394</v>
      </c>
      <c r="B7" s="338"/>
      <c r="C7" s="338"/>
      <c r="D7" s="338"/>
    </row>
    <row r="8" spans="1:14" x14ac:dyDescent="0.25">
      <c r="A8" s="339" t="s">
        <v>4</v>
      </c>
      <c r="B8" s="339"/>
      <c r="C8" s="339"/>
      <c r="D8" s="339"/>
    </row>
    <row r="9" spans="1:14" ht="16.5" thickBot="1" x14ac:dyDescent="0.3">
      <c r="A9" s="155"/>
      <c r="B9" s="155"/>
      <c r="C9" s="155"/>
      <c r="D9" s="155"/>
    </row>
    <row r="10" spans="1:14" ht="16.5" thickBot="1" x14ac:dyDescent="0.3">
      <c r="A10" s="156">
        <v>1</v>
      </c>
      <c r="B10" s="157" t="s">
        <v>5</v>
      </c>
      <c r="C10" s="158"/>
      <c r="D10" s="159" t="s">
        <v>6</v>
      </c>
    </row>
    <row r="11" spans="1:14" ht="16.5" thickBot="1" x14ac:dyDescent="0.3">
      <c r="A11" s="160" t="s">
        <v>7</v>
      </c>
      <c r="B11" s="161" t="s">
        <v>8</v>
      </c>
      <c r="C11" s="158"/>
      <c r="D11" s="22">
        <v>4547.13</v>
      </c>
      <c r="E11" s="342"/>
      <c r="F11" s="343"/>
      <c r="G11" s="343"/>
      <c r="H11" s="343"/>
      <c r="I11" s="343"/>
      <c r="J11" s="343"/>
      <c r="K11" s="343"/>
      <c r="L11" s="343"/>
      <c r="M11" s="343"/>
      <c r="N11" s="343"/>
    </row>
    <row r="12" spans="1:14" ht="16.5" thickBot="1" x14ac:dyDescent="0.3">
      <c r="A12" s="160" t="s">
        <v>9</v>
      </c>
      <c r="B12" s="161" t="s">
        <v>10</v>
      </c>
      <c r="C12" s="23">
        <v>0.3</v>
      </c>
      <c r="D12" s="10">
        <f>D11*C12</f>
        <v>1364.1389999999999</v>
      </c>
      <c r="E12" s="344"/>
      <c r="F12" s="345"/>
      <c r="G12" s="345"/>
      <c r="H12" s="345"/>
      <c r="I12" s="345"/>
      <c r="J12" s="345"/>
      <c r="K12" s="345"/>
      <c r="L12" s="345"/>
      <c r="M12" s="345"/>
    </row>
    <row r="13" spans="1:14" ht="16.5" thickBot="1" x14ac:dyDescent="0.3">
      <c r="A13" s="160" t="s">
        <v>11</v>
      </c>
      <c r="B13" s="161" t="s">
        <v>12</v>
      </c>
      <c r="C13" s="158"/>
      <c r="D13" s="10">
        <v>0</v>
      </c>
    </row>
    <row r="14" spans="1:14" ht="16.5" thickBot="1" x14ac:dyDescent="0.3">
      <c r="A14" s="160" t="s">
        <v>13</v>
      </c>
      <c r="B14" s="161" t="s">
        <v>14</v>
      </c>
      <c r="C14" s="158"/>
      <c r="D14" s="10">
        <f>((D11+D12)/220*0.2)*C14</f>
        <v>0</v>
      </c>
    </row>
    <row r="15" spans="1:14" ht="16.5" thickBot="1" x14ac:dyDescent="0.3">
      <c r="A15" s="160" t="s">
        <v>15</v>
      </c>
      <c r="B15" s="161" t="s">
        <v>16</v>
      </c>
      <c r="C15" s="158"/>
      <c r="D15" s="10">
        <f>PRODUCT(((C14/52.5)*60)-C14)*(((D11+D12)/220*1.2))</f>
        <v>0</v>
      </c>
    </row>
    <row r="16" spans="1:14" ht="16.5" thickBot="1" x14ac:dyDescent="0.3">
      <c r="A16" s="160" t="s">
        <v>17</v>
      </c>
      <c r="B16" s="161" t="s">
        <v>19</v>
      </c>
      <c r="C16" s="158"/>
      <c r="D16" s="22"/>
    </row>
    <row r="17" spans="1:4" ht="16.5" thickBot="1" x14ac:dyDescent="0.3">
      <c r="A17" s="324" t="s">
        <v>20</v>
      </c>
      <c r="B17" s="325"/>
      <c r="C17" s="158"/>
      <c r="D17" s="11">
        <f>SUM(D11:D16)</f>
        <v>5911.2690000000002</v>
      </c>
    </row>
    <row r="18" spans="1:4" x14ac:dyDescent="0.25">
      <c r="A18" s="155"/>
      <c r="B18" s="155"/>
      <c r="C18" s="155"/>
      <c r="D18" s="155"/>
    </row>
    <row r="19" spans="1:4" x14ac:dyDescent="0.25">
      <c r="A19" s="155"/>
      <c r="B19" s="155"/>
      <c r="C19" s="155"/>
      <c r="D19" s="155"/>
    </row>
    <row r="20" spans="1:4" x14ac:dyDescent="0.25">
      <c r="A20" s="326" t="s">
        <v>21</v>
      </c>
      <c r="B20" s="326"/>
      <c r="C20" s="326"/>
      <c r="D20" s="326"/>
    </row>
    <row r="21" spans="1:4" x14ac:dyDescent="0.25">
      <c r="A21" s="162"/>
      <c r="B21" s="155"/>
      <c r="C21" s="155"/>
      <c r="D21" s="155"/>
    </row>
    <row r="22" spans="1:4" x14ac:dyDescent="0.25">
      <c r="A22" s="327" t="s">
        <v>22</v>
      </c>
      <c r="B22" s="327"/>
      <c r="C22" s="327"/>
      <c r="D22" s="327"/>
    </row>
    <row r="23" spans="1:4" ht="16.5" thickBot="1" x14ac:dyDescent="0.3">
      <c r="A23" s="155"/>
      <c r="B23" s="155"/>
      <c r="C23" s="155"/>
      <c r="D23" s="155"/>
    </row>
    <row r="24" spans="1:4" ht="16.5" thickBot="1" x14ac:dyDescent="0.3">
      <c r="A24" s="156" t="s">
        <v>23</v>
      </c>
      <c r="B24" s="157" t="s">
        <v>24</v>
      </c>
      <c r="C24" s="158"/>
      <c r="D24" s="159" t="s">
        <v>6</v>
      </c>
    </row>
    <row r="25" spans="1:4" ht="16.5" thickBot="1" x14ac:dyDescent="0.3">
      <c r="A25" s="160" t="s">
        <v>7</v>
      </c>
      <c r="B25" s="161" t="s">
        <v>25</v>
      </c>
      <c r="C25" s="158"/>
      <c r="D25" s="163">
        <f>D17/12</f>
        <v>492.60575</v>
      </c>
    </row>
    <row r="26" spans="1:4" ht="16.5" thickBot="1" x14ac:dyDescent="0.3">
      <c r="A26" s="160" t="s">
        <v>9</v>
      </c>
      <c r="B26" s="161" t="s">
        <v>26</v>
      </c>
      <c r="C26" s="158"/>
      <c r="D26" s="163">
        <f>(D17/12)+(D17*1/3/12)</f>
        <v>656.80766666666671</v>
      </c>
    </row>
    <row r="27" spans="1:4" ht="16.5" thickBot="1" x14ac:dyDescent="0.3">
      <c r="A27" s="324" t="s">
        <v>20</v>
      </c>
      <c r="B27" s="325"/>
      <c r="C27" s="158"/>
      <c r="D27" s="163">
        <f>SUM(D25:D26)</f>
        <v>1149.4134166666668</v>
      </c>
    </row>
    <row r="28" spans="1:4" x14ac:dyDescent="0.25">
      <c r="A28" s="155"/>
      <c r="B28" s="155"/>
      <c r="C28" s="155"/>
      <c r="D28" s="155"/>
    </row>
    <row r="29" spans="1:4" x14ac:dyDescent="0.25">
      <c r="A29" s="155"/>
      <c r="B29" s="155"/>
      <c r="C29" s="155"/>
      <c r="D29" s="155"/>
    </row>
    <row r="30" spans="1:4" ht="32.25" customHeight="1" x14ac:dyDescent="0.25">
      <c r="A30" s="330" t="s">
        <v>27</v>
      </c>
      <c r="B30" s="330"/>
      <c r="C30" s="330"/>
      <c r="D30" s="330"/>
    </row>
    <row r="31" spans="1:4" ht="16.5" thickBot="1" x14ac:dyDescent="0.3">
      <c r="A31" s="155"/>
      <c r="B31" s="155"/>
      <c r="C31" s="155"/>
      <c r="D31" s="155"/>
    </row>
    <row r="32" spans="1:4" ht="16.5" thickBot="1" x14ac:dyDescent="0.3">
      <c r="A32" s="156" t="s">
        <v>28</v>
      </c>
      <c r="B32" s="159" t="s">
        <v>29</v>
      </c>
      <c r="C32" s="159" t="s">
        <v>30</v>
      </c>
      <c r="D32" s="159" t="s">
        <v>6</v>
      </c>
    </row>
    <row r="33" spans="1:13" ht="16.5" thickBot="1" x14ac:dyDescent="0.3">
      <c r="A33" s="160" t="s">
        <v>7</v>
      </c>
      <c r="B33" s="164" t="s">
        <v>31</v>
      </c>
      <c r="C33" s="24">
        <v>0.2</v>
      </c>
      <c r="D33" s="163">
        <f>($D$17*C33)+($D$27*C33)</f>
        <v>1412.1364833333337</v>
      </c>
    </row>
    <row r="34" spans="1:13" ht="16.5" thickBot="1" x14ac:dyDescent="0.3">
      <c r="A34" s="160" t="s">
        <v>9</v>
      </c>
      <c r="B34" s="164" t="s">
        <v>32</v>
      </c>
      <c r="C34" s="24">
        <v>2.5000000000000001E-2</v>
      </c>
      <c r="D34" s="163">
        <f>($D$17*C34)+($D$27*C34)</f>
        <v>176.51706041666671</v>
      </c>
    </row>
    <row r="35" spans="1:13" ht="16.5" thickBot="1" x14ac:dyDescent="0.3">
      <c r="A35" s="160" t="s">
        <v>11</v>
      </c>
      <c r="B35" s="164" t="s">
        <v>33</v>
      </c>
      <c r="C35" s="24">
        <v>1.4999999999999999E-2</v>
      </c>
      <c r="D35" s="163">
        <f t="shared" ref="D35:D40" si="0">($D$17*C35)+($D$27*C35)</f>
        <v>105.91023625</v>
      </c>
    </row>
    <row r="36" spans="1:13" ht="16.5" thickBot="1" x14ac:dyDescent="0.3">
      <c r="A36" s="160" t="s">
        <v>13</v>
      </c>
      <c r="B36" s="164" t="s">
        <v>34</v>
      </c>
      <c r="C36" s="24">
        <v>1.4999999999999999E-2</v>
      </c>
      <c r="D36" s="163">
        <f t="shared" si="0"/>
        <v>105.91023625</v>
      </c>
    </row>
    <row r="37" spans="1:13" ht="16.5" thickBot="1" x14ac:dyDescent="0.3">
      <c r="A37" s="160" t="s">
        <v>15</v>
      </c>
      <c r="B37" s="164" t="s">
        <v>35</v>
      </c>
      <c r="C37" s="24">
        <v>0.01</v>
      </c>
      <c r="D37" s="163">
        <f t="shared" si="0"/>
        <v>70.606824166666669</v>
      </c>
    </row>
    <row r="38" spans="1:13" ht="16.5" thickBot="1" x14ac:dyDescent="0.3">
      <c r="A38" s="160" t="s">
        <v>17</v>
      </c>
      <c r="B38" s="164" t="s">
        <v>36</v>
      </c>
      <c r="C38" s="24">
        <v>6.0000000000000001E-3</v>
      </c>
      <c r="D38" s="163">
        <f t="shared" si="0"/>
        <v>42.364094500000007</v>
      </c>
    </row>
    <row r="39" spans="1:13" ht="16.5" thickBot="1" x14ac:dyDescent="0.3">
      <c r="A39" s="160" t="s">
        <v>18</v>
      </c>
      <c r="B39" s="164" t="s">
        <v>37</v>
      </c>
      <c r="C39" s="24">
        <v>2E-3</v>
      </c>
      <c r="D39" s="163">
        <f t="shared" si="0"/>
        <v>14.121364833333335</v>
      </c>
    </row>
    <row r="40" spans="1:13" ht="16.5" thickBot="1" x14ac:dyDescent="0.3">
      <c r="A40" s="160" t="s">
        <v>38</v>
      </c>
      <c r="B40" s="164" t="s">
        <v>39</v>
      </c>
      <c r="C40" s="24">
        <v>0.08</v>
      </c>
      <c r="D40" s="163">
        <f t="shared" si="0"/>
        <v>564.85459333333336</v>
      </c>
    </row>
    <row r="41" spans="1:13" ht="16.5" thickBot="1" x14ac:dyDescent="0.3">
      <c r="A41" s="324" t="s">
        <v>40</v>
      </c>
      <c r="B41" s="331"/>
      <c r="C41" s="165">
        <f>SUM(C33:C40)</f>
        <v>0.35300000000000004</v>
      </c>
      <c r="D41" s="163">
        <f>SUM(D33:D40)</f>
        <v>2492.4208930833338</v>
      </c>
    </row>
    <row r="42" spans="1:13" x14ac:dyDescent="0.25">
      <c r="A42" s="155"/>
      <c r="B42" s="155"/>
      <c r="C42" s="155"/>
      <c r="D42" s="155"/>
    </row>
    <row r="43" spans="1:13" x14ac:dyDescent="0.25">
      <c r="A43" s="155"/>
      <c r="B43" s="155"/>
      <c r="C43" s="155"/>
      <c r="D43" s="155"/>
    </row>
    <row r="44" spans="1:13" x14ac:dyDescent="0.25">
      <c r="A44" s="327" t="s">
        <v>41</v>
      </c>
      <c r="B44" s="327"/>
      <c r="C44" s="327"/>
      <c r="D44" s="155"/>
    </row>
    <row r="45" spans="1:13" ht="16.5" thickBot="1" x14ac:dyDescent="0.3">
      <c r="A45" s="155"/>
      <c r="B45" s="155"/>
      <c r="C45" s="155"/>
      <c r="D45" s="155"/>
    </row>
    <row r="46" spans="1:13" ht="16.5" thickBot="1" x14ac:dyDescent="0.3">
      <c r="A46" s="156" t="s">
        <v>42</v>
      </c>
      <c r="B46" s="157" t="s">
        <v>43</v>
      </c>
      <c r="C46" s="166" t="s">
        <v>328</v>
      </c>
      <c r="D46" s="159" t="s">
        <v>6</v>
      </c>
    </row>
    <row r="47" spans="1:13" ht="39" customHeight="1" thickBot="1" x14ac:dyDescent="0.3">
      <c r="A47" s="160" t="s">
        <v>7</v>
      </c>
      <c r="B47" s="161" t="s">
        <v>44</v>
      </c>
      <c r="C47" s="25">
        <v>5.5</v>
      </c>
      <c r="D47" s="12">
        <f>IF((C47*2*13.05-6%*D11)&gt;0,(C47*2*13.05-6%*D11),0)</f>
        <v>0</v>
      </c>
      <c r="E47" s="340"/>
      <c r="F47" s="341"/>
      <c r="G47" s="341"/>
      <c r="H47" s="341"/>
      <c r="I47" s="341"/>
      <c r="J47" s="341"/>
      <c r="K47" s="341"/>
      <c r="L47" s="341"/>
    </row>
    <row r="48" spans="1:13" ht="49.5" customHeight="1" thickBot="1" x14ac:dyDescent="0.3">
      <c r="A48" s="160" t="s">
        <v>9</v>
      </c>
      <c r="B48" s="161" t="s">
        <v>45</v>
      </c>
      <c r="C48" s="26">
        <v>45.23</v>
      </c>
      <c r="D48" s="12">
        <f>IF((C48-0.3)*13.05 &lt; 0, "", (C48-0.3)*13.05)</f>
        <v>586.3365</v>
      </c>
      <c r="E48" s="346"/>
      <c r="F48" s="347"/>
      <c r="G48" s="347"/>
      <c r="H48" s="347"/>
      <c r="I48" s="347"/>
      <c r="J48" s="347"/>
      <c r="K48" s="347"/>
      <c r="L48" s="347"/>
      <c r="M48" s="347"/>
    </row>
    <row r="49" spans="1:13" ht="23.25" thickBot="1" x14ac:dyDescent="0.3">
      <c r="A49" s="160" t="s">
        <v>11</v>
      </c>
      <c r="B49" s="161" t="s">
        <v>320</v>
      </c>
      <c r="C49" s="167" t="s">
        <v>322</v>
      </c>
      <c r="D49" s="27">
        <v>184.55</v>
      </c>
      <c r="E49" s="340"/>
      <c r="F49" s="341"/>
      <c r="G49" s="341"/>
      <c r="H49" s="341"/>
      <c r="I49" s="341"/>
      <c r="J49" s="341"/>
      <c r="K49" s="341"/>
      <c r="L49" s="341"/>
      <c r="M49" s="341"/>
    </row>
    <row r="50" spans="1:13" ht="23.25" thickBot="1" x14ac:dyDescent="0.3">
      <c r="A50" s="160" t="s">
        <v>13</v>
      </c>
      <c r="B50" s="161" t="s">
        <v>321</v>
      </c>
      <c r="C50" s="167" t="s">
        <v>323</v>
      </c>
      <c r="D50" s="27">
        <v>12.81</v>
      </c>
      <c r="E50" s="340"/>
      <c r="F50" s="341"/>
      <c r="G50" s="341"/>
      <c r="H50" s="341"/>
      <c r="I50" s="341"/>
      <c r="J50" s="341"/>
      <c r="K50" s="341"/>
      <c r="L50" s="341"/>
      <c r="M50" s="32"/>
    </row>
    <row r="51" spans="1:13" ht="23.25" thickBot="1" x14ac:dyDescent="0.3">
      <c r="A51" s="160" t="s">
        <v>15</v>
      </c>
      <c r="B51" s="161" t="s">
        <v>325</v>
      </c>
      <c r="C51" s="167" t="s">
        <v>324</v>
      </c>
      <c r="D51" s="27"/>
      <c r="E51" s="340"/>
      <c r="F51" s="341"/>
      <c r="G51" s="341"/>
      <c r="H51" s="341"/>
      <c r="I51" s="341"/>
      <c r="J51" s="341"/>
      <c r="K51" s="341"/>
      <c r="L51" s="341"/>
      <c r="M51" s="341"/>
    </row>
    <row r="52" spans="1:13" ht="16.5" thickBot="1" x14ac:dyDescent="0.3">
      <c r="A52" s="160" t="s">
        <v>17</v>
      </c>
      <c r="B52" s="161" t="s">
        <v>332</v>
      </c>
      <c r="C52" s="158"/>
      <c r="D52" s="27">
        <v>15.02</v>
      </c>
    </row>
    <row r="53" spans="1:13" ht="16.5" thickBot="1" x14ac:dyDescent="0.3">
      <c r="A53" s="324" t="s">
        <v>20</v>
      </c>
      <c r="B53" s="325"/>
      <c r="C53" s="158"/>
      <c r="D53" s="13">
        <f>SUM(D47:D52)</f>
        <v>798.7165</v>
      </c>
    </row>
    <row r="54" spans="1:13" x14ac:dyDescent="0.25">
      <c r="A54" s="155"/>
      <c r="B54" s="155"/>
      <c r="C54" s="155"/>
      <c r="D54" s="155"/>
    </row>
    <row r="55" spans="1:13" x14ac:dyDescent="0.25">
      <c r="A55" s="155"/>
      <c r="B55" s="155"/>
      <c r="C55" s="155"/>
      <c r="D55" s="155"/>
    </row>
    <row r="56" spans="1:13" x14ac:dyDescent="0.25">
      <c r="A56" s="327" t="s">
        <v>46</v>
      </c>
      <c r="B56" s="327"/>
      <c r="C56" s="327"/>
      <c r="D56" s="155"/>
    </row>
    <row r="57" spans="1:13" ht="16.5" thickBot="1" x14ac:dyDescent="0.3">
      <c r="A57" s="155"/>
      <c r="B57" s="155"/>
      <c r="C57" s="155"/>
      <c r="D57" s="155"/>
    </row>
    <row r="58" spans="1:13" ht="16.5" thickBot="1" x14ac:dyDescent="0.3">
      <c r="A58" s="156">
        <v>2</v>
      </c>
      <c r="B58" s="157" t="s">
        <v>47</v>
      </c>
      <c r="C58" s="158"/>
      <c r="D58" s="159" t="s">
        <v>6</v>
      </c>
    </row>
    <row r="59" spans="1:13" ht="16.5" thickBot="1" x14ac:dyDescent="0.3">
      <c r="A59" s="160" t="s">
        <v>23</v>
      </c>
      <c r="B59" s="161" t="s">
        <v>24</v>
      </c>
      <c r="C59" s="158"/>
      <c r="D59" s="163">
        <f>D27</f>
        <v>1149.4134166666668</v>
      </c>
    </row>
    <row r="60" spans="1:13" ht="16.5" thickBot="1" x14ac:dyDescent="0.3">
      <c r="A60" s="160" t="s">
        <v>28</v>
      </c>
      <c r="B60" s="161" t="s">
        <v>29</v>
      </c>
      <c r="C60" s="158"/>
      <c r="D60" s="163">
        <f>D41</f>
        <v>2492.4208930833338</v>
      </c>
    </row>
    <row r="61" spans="1:13" ht="16.5" thickBot="1" x14ac:dyDescent="0.3">
      <c r="A61" s="160" t="s">
        <v>42</v>
      </c>
      <c r="B61" s="161" t="s">
        <v>43</v>
      </c>
      <c r="C61" s="158"/>
      <c r="D61" s="168">
        <f>D53</f>
        <v>798.7165</v>
      </c>
    </row>
    <row r="62" spans="1:13" ht="16.5" thickBot="1" x14ac:dyDescent="0.3">
      <c r="A62" s="324" t="s">
        <v>20</v>
      </c>
      <c r="B62" s="325"/>
      <c r="C62" s="158"/>
      <c r="D62" s="163">
        <f>SUM(D59:D61)</f>
        <v>4440.5508097500006</v>
      </c>
    </row>
    <row r="63" spans="1:13" x14ac:dyDescent="0.25">
      <c r="A63" s="169"/>
      <c r="B63" s="155"/>
      <c r="C63" s="155"/>
      <c r="D63" s="155"/>
    </row>
    <row r="64" spans="1:13" x14ac:dyDescent="0.25">
      <c r="A64" s="155"/>
      <c r="B64" s="155"/>
      <c r="C64" s="155"/>
      <c r="D64" s="155"/>
    </row>
    <row r="65" spans="1:4" x14ac:dyDescent="0.25">
      <c r="A65" s="326" t="s">
        <v>48</v>
      </c>
      <c r="B65" s="326"/>
      <c r="C65" s="326"/>
      <c r="D65" s="155"/>
    </row>
    <row r="66" spans="1:4" ht="16.5" thickBot="1" x14ac:dyDescent="0.3">
      <c r="A66" s="155"/>
      <c r="B66" s="155"/>
      <c r="C66" s="155"/>
      <c r="D66" s="155"/>
    </row>
    <row r="67" spans="1:4" ht="16.5" thickBot="1" x14ac:dyDescent="0.3">
      <c r="A67" s="156">
        <v>3</v>
      </c>
      <c r="B67" s="157" t="s">
        <v>49</v>
      </c>
      <c r="C67" s="158" t="s">
        <v>50</v>
      </c>
      <c r="D67" s="159" t="s">
        <v>6</v>
      </c>
    </row>
    <row r="68" spans="1:4" ht="16.5" thickBot="1" x14ac:dyDescent="0.3">
      <c r="A68" s="160" t="s">
        <v>7</v>
      </c>
      <c r="B68" s="170" t="s">
        <v>51</v>
      </c>
      <c r="C68" s="28">
        <v>4.0000000000000002E-4</v>
      </c>
      <c r="D68" s="163">
        <f>(D17/12)*C68</f>
        <v>0.1970423</v>
      </c>
    </row>
    <row r="69" spans="1:4" ht="16.5" thickBot="1" x14ac:dyDescent="0.3">
      <c r="A69" s="160" t="s">
        <v>9</v>
      </c>
      <c r="B69" s="170" t="s">
        <v>52</v>
      </c>
      <c r="C69" s="158"/>
      <c r="D69" s="163">
        <f>(D68*C40)</f>
        <v>1.5763384000000002E-2</v>
      </c>
    </row>
    <row r="70" spans="1:4" ht="16.5" thickBot="1" x14ac:dyDescent="0.3">
      <c r="A70" s="160" t="s">
        <v>11</v>
      </c>
      <c r="B70" s="170" t="s">
        <v>53</v>
      </c>
      <c r="C70" s="158"/>
      <c r="D70" s="171"/>
    </row>
    <row r="71" spans="1:4" ht="16.5" thickBot="1" x14ac:dyDescent="0.3">
      <c r="A71" s="160" t="s">
        <v>13</v>
      </c>
      <c r="B71" s="170" t="s">
        <v>54</v>
      </c>
      <c r="C71" s="29">
        <v>4.0000000000000002E-4</v>
      </c>
      <c r="D71" s="163">
        <f>(((D17/30)/12)*7)*C71</f>
        <v>4.5976536666666672E-2</v>
      </c>
    </row>
    <row r="72" spans="1:4" ht="30.75" thickBot="1" x14ac:dyDescent="0.3">
      <c r="A72" s="160" t="s">
        <v>15</v>
      </c>
      <c r="B72" s="170" t="s">
        <v>55</v>
      </c>
      <c r="C72" s="172"/>
      <c r="D72" s="173">
        <f>(D71*C41)</f>
        <v>1.6229717443333336E-2</v>
      </c>
    </row>
    <row r="73" spans="1:4" ht="30.75" thickBot="1" x14ac:dyDescent="0.3">
      <c r="A73" s="160" t="s">
        <v>17</v>
      </c>
      <c r="B73" s="170" t="s">
        <v>56</v>
      </c>
      <c r="C73" s="158"/>
      <c r="D73" s="174">
        <f>SUM(D74:D75)</f>
        <v>225.94183733333335</v>
      </c>
    </row>
    <row r="74" spans="1:4" ht="16.5" thickBot="1" x14ac:dyDescent="0.3">
      <c r="A74" s="175"/>
      <c r="B74" s="170" t="s">
        <v>39</v>
      </c>
      <c r="C74" s="14">
        <v>0.4</v>
      </c>
      <c r="D74" s="163">
        <f>((((D17+D25+D26)*C74))*C40)</f>
        <v>225.94183733333335</v>
      </c>
    </row>
    <row r="75" spans="1:4" ht="16.5" thickBot="1" x14ac:dyDescent="0.3">
      <c r="A75" s="175"/>
      <c r="B75" s="170" t="s">
        <v>57</v>
      </c>
      <c r="C75" s="15">
        <v>0</v>
      </c>
      <c r="D75" s="163">
        <f>((((D17+D25+D26)*C75))*C40)</f>
        <v>0</v>
      </c>
    </row>
    <row r="76" spans="1:4" ht="16.5" thickBot="1" x14ac:dyDescent="0.3">
      <c r="A76" s="324" t="s">
        <v>20</v>
      </c>
      <c r="B76" s="325"/>
      <c r="C76" s="158"/>
      <c r="D76" s="163">
        <f>D68+D69+D71+D72+D73</f>
        <v>226.21684927144335</v>
      </c>
    </row>
    <row r="77" spans="1:4" x14ac:dyDescent="0.25">
      <c r="A77" s="155"/>
      <c r="B77" s="155"/>
      <c r="C77" s="155"/>
      <c r="D77" s="155"/>
    </row>
    <row r="78" spans="1:4" x14ac:dyDescent="0.25">
      <c r="A78" s="155"/>
      <c r="B78" s="155"/>
      <c r="C78" s="155"/>
      <c r="D78" s="155"/>
    </row>
    <row r="79" spans="1:4" x14ac:dyDescent="0.25">
      <c r="A79" s="326" t="s">
        <v>58</v>
      </c>
      <c r="B79" s="326"/>
      <c r="C79" s="326"/>
      <c r="D79" s="155"/>
    </row>
    <row r="80" spans="1:4" x14ac:dyDescent="0.25">
      <c r="A80" s="155"/>
      <c r="B80" s="155"/>
      <c r="C80" s="155"/>
      <c r="D80" s="155"/>
    </row>
    <row r="81" spans="1:4" x14ac:dyDescent="0.25">
      <c r="A81" s="155"/>
      <c r="B81" s="155"/>
      <c r="C81" s="155"/>
      <c r="D81" s="155"/>
    </row>
    <row r="82" spans="1:4" x14ac:dyDescent="0.25">
      <c r="A82" s="327" t="s">
        <v>59</v>
      </c>
      <c r="B82" s="327"/>
      <c r="C82" s="327"/>
      <c r="D82" s="155"/>
    </row>
    <row r="83" spans="1:4" ht="16.5" thickBot="1" x14ac:dyDescent="0.3">
      <c r="A83" s="162"/>
      <c r="B83" s="155"/>
      <c r="C83" s="155"/>
      <c r="D83" s="155"/>
    </row>
    <row r="84" spans="1:4" ht="16.5" thickBot="1" x14ac:dyDescent="0.3">
      <c r="A84" s="156" t="s">
        <v>60</v>
      </c>
      <c r="B84" s="157" t="s">
        <v>61</v>
      </c>
      <c r="C84" s="176" t="s">
        <v>62</v>
      </c>
      <c r="D84" s="159" t="s">
        <v>6</v>
      </c>
    </row>
    <row r="85" spans="1:4" ht="16.5" thickBot="1" x14ac:dyDescent="0.3">
      <c r="A85" s="160" t="s">
        <v>7</v>
      </c>
      <c r="B85" s="161" t="s">
        <v>63</v>
      </c>
      <c r="C85" s="16">
        <v>30</v>
      </c>
      <c r="D85" s="163">
        <f>(($D$17+$D$27+$D$100+$D$122+$D$53+$D$68+$D$71-$D$47)/30)*C85/12</f>
        <v>659.08695184727287</v>
      </c>
    </row>
    <row r="86" spans="1:4" ht="16.5" thickBot="1" x14ac:dyDescent="0.3">
      <c r="A86" s="160" t="s">
        <v>9</v>
      </c>
      <c r="B86" s="161" t="s">
        <v>64</v>
      </c>
      <c r="C86" s="30">
        <v>0.02</v>
      </c>
      <c r="D86" s="163">
        <f>(($D$17+$D$27+$D$100+$D$122+$D$53+$D$68+$D$71-$D$47)/30)*C86/12</f>
        <v>0.43939130123151532</v>
      </c>
    </row>
    <row r="87" spans="1:4" ht="16.5" thickBot="1" x14ac:dyDescent="0.3">
      <c r="A87" s="160" t="s">
        <v>11</v>
      </c>
      <c r="B87" s="161" t="s">
        <v>65</v>
      </c>
      <c r="C87" s="30">
        <v>0.02</v>
      </c>
      <c r="D87" s="163">
        <f>(($D$17+$D$27+$D$100+$D$122+$D$53+$D$68+$D$71-$D$47)/30)*C87/12</f>
        <v>0.43939130123151532</v>
      </c>
    </row>
    <row r="88" spans="1:4" ht="16.5" thickBot="1" x14ac:dyDescent="0.3">
      <c r="A88" s="160" t="s">
        <v>13</v>
      </c>
      <c r="B88" s="161" t="s">
        <v>66</v>
      </c>
      <c r="C88" s="30">
        <v>0.02</v>
      </c>
      <c r="D88" s="163">
        <f>(($D$17+$D$27+$D$100+$D$122+$D$53+$D$68+$D$71-$D$47)/30)*C88/12</f>
        <v>0.43939130123151532</v>
      </c>
    </row>
    <row r="89" spans="1:4" ht="16.5" thickBot="1" x14ac:dyDescent="0.3">
      <c r="A89" s="160" t="s">
        <v>15</v>
      </c>
      <c r="B89" s="161" t="s">
        <v>67</v>
      </c>
      <c r="C89" s="17">
        <v>0</v>
      </c>
      <c r="D89" s="163">
        <f>D100</f>
        <v>0.73481999727500003</v>
      </c>
    </row>
    <row r="90" spans="1:4" ht="16.5" thickBot="1" x14ac:dyDescent="0.3">
      <c r="A90" s="160" t="s">
        <v>17</v>
      </c>
      <c r="B90" s="161" t="s">
        <v>68</v>
      </c>
      <c r="C90" s="30">
        <v>-15</v>
      </c>
      <c r="D90" s="163">
        <f>(($D$17+$D$27+$D$100+$D$122+$D$53+$D$68+$D$71-$D$47)/30)*C90/12</f>
        <v>-329.54347592363644</v>
      </c>
    </row>
    <row r="91" spans="1:4" ht="16.5" thickBot="1" x14ac:dyDescent="0.3">
      <c r="A91" s="324" t="s">
        <v>40</v>
      </c>
      <c r="B91" s="325"/>
      <c r="C91" s="158"/>
      <c r="D91" s="13">
        <f>SUM(D85:D90)-D89</f>
        <v>330.86164982733089</v>
      </c>
    </row>
    <row r="92" spans="1:4" x14ac:dyDescent="0.25">
      <c r="A92" s="155"/>
      <c r="B92" s="155"/>
      <c r="C92" s="155"/>
      <c r="D92" s="155"/>
    </row>
    <row r="93" spans="1:4" x14ac:dyDescent="0.25">
      <c r="A93" s="327" t="s">
        <v>69</v>
      </c>
      <c r="B93" s="327"/>
      <c r="C93" s="327"/>
      <c r="D93" s="155"/>
    </row>
    <row r="94" spans="1:4" ht="16.5" thickBot="1" x14ac:dyDescent="0.3">
      <c r="A94" s="155"/>
      <c r="B94" s="155"/>
      <c r="C94" s="155"/>
      <c r="D94" s="155"/>
    </row>
    <row r="95" spans="1:4" ht="16.5" thickBot="1" x14ac:dyDescent="0.3">
      <c r="A95" s="156" t="s">
        <v>70</v>
      </c>
      <c r="B95" s="157" t="s">
        <v>61</v>
      </c>
      <c r="C95" s="176" t="s">
        <v>50</v>
      </c>
      <c r="D95" s="159" t="s">
        <v>6</v>
      </c>
    </row>
    <row r="96" spans="1:4" ht="16.5" thickBot="1" x14ac:dyDescent="0.3">
      <c r="A96" s="160" t="s">
        <v>7</v>
      </c>
      <c r="B96" s="161" t="s">
        <v>71</v>
      </c>
      <c r="C96" s="29">
        <v>6.9999999999999999E-4</v>
      </c>
      <c r="D96" s="163">
        <f>(((D17+1/3*D17)*4/12))/12*C96</f>
        <v>0.15325512222222223</v>
      </c>
    </row>
    <row r="97" spans="1:4" ht="30.75" thickBot="1" x14ac:dyDescent="0.3">
      <c r="A97" s="160" t="s">
        <v>9</v>
      </c>
      <c r="B97" s="161" t="s">
        <v>72</v>
      </c>
      <c r="C97" s="18">
        <v>0</v>
      </c>
      <c r="D97" s="163">
        <f>D96*C41</f>
        <v>5.4099058144444455E-2</v>
      </c>
    </row>
    <row r="98" spans="1:4" ht="30.75" thickBot="1" x14ac:dyDescent="0.3">
      <c r="A98" s="160" t="s">
        <v>11</v>
      </c>
      <c r="B98" s="161" t="s">
        <v>73</v>
      </c>
      <c r="C98" s="18">
        <v>0</v>
      </c>
      <c r="D98" s="163">
        <f>(((D17+D17/12)*(4/12)*C96)*C41)</f>
        <v>0.52746581690833338</v>
      </c>
    </row>
    <row r="99" spans="1:4" ht="16.5" thickBot="1" x14ac:dyDescent="0.3">
      <c r="A99" s="160" t="s">
        <v>13</v>
      </c>
      <c r="B99" s="161" t="s">
        <v>74</v>
      </c>
      <c r="C99" s="18">
        <v>0</v>
      </c>
      <c r="D99" s="163">
        <v>0</v>
      </c>
    </row>
    <row r="100" spans="1:4" ht="16.5" thickBot="1" x14ac:dyDescent="0.3">
      <c r="A100" s="160"/>
      <c r="B100" s="161" t="s">
        <v>75</v>
      </c>
      <c r="C100" s="18"/>
      <c r="D100" s="163">
        <f>SUM(D96:D99)</f>
        <v>0.73481999727500003</v>
      </c>
    </row>
    <row r="101" spans="1:4" x14ac:dyDescent="0.25">
      <c r="A101" s="155"/>
      <c r="B101" s="155"/>
      <c r="C101" s="155"/>
      <c r="D101" s="155"/>
    </row>
    <row r="102" spans="1:4" x14ac:dyDescent="0.25">
      <c r="A102" s="155"/>
      <c r="B102" s="155"/>
      <c r="C102" s="155"/>
      <c r="D102" s="155"/>
    </row>
    <row r="103" spans="1:4" x14ac:dyDescent="0.25">
      <c r="A103" s="327" t="s">
        <v>76</v>
      </c>
      <c r="B103" s="327"/>
      <c r="C103" s="327"/>
      <c r="D103" s="155"/>
    </row>
    <row r="104" spans="1:4" ht="16.5" thickBot="1" x14ac:dyDescent="0.3">
      <c r="A104" s="162"/>
      <c r="B104" s="155"/>
      <c r="C104" s="155"/>
      <c r="D104" s="155"/>
    </row>
    <row r="105" spans="1:4" ht="16.5" thickBot="1" x14ac:dyDescent="0.3">
      <c r="A105" s="156" t="s">
        <v>77</v>
      </c>
      <c r="B105" s="157" t="s">
        <v>78</v>
      </c>
      <c r="C105" s="158"/>
      <c r="D105" s="159" t="s">
        <v>6</v>
      </c>
    </row>
    <row r="106" spans="1:4" ht="16.5" thickBot="1" x14ac:dyDescent="0.3">
      <c r="A106" s="160" t="s">
        <v>7</v>
      </c>
      <c r="B106" s="161" t="s">
        <v>79</v>
      </c>
      <c r="C106" s="158"/>
      <c r="D106" s="171"/>
    </row>
    <row r="107" spans="1:4" ht="16.5" thickBot="1" x14ac:dyDescent="0.3">
      <c r="A107" s="324" t="s">
        <v>20</v>
      </c>
      <c r="B107" s="325"/>
      <c r="C107" s="158"/>
      <c r="D107" s="13">
        <f>D106</f>
        <v>0</v>
      </c>
    </row>
    <row r="108" spans="1:4" x14ac:dyDescent="0.25">
      <c r="A108" s="155"/>
      <c r="B108" s="155"/>
      <c r="C108" s="155"/>
      <c r="D108" s="155"/>
    </row>
    <row r="109" spans="1:4" x14ac:dyDescent="0.25">
      <c r="A109" s="155"/>
      <c r="B109" s="155"/>
      <c r="C109" s="155"/>
      <c r="D109" s="155"/>
    </row>
    <row r="110" spans="1:4" x14ac:dyDescent="0.25">
      <c r="A110" s="327" t="s">
        <v>80</v>
      </c>
      <c r="B110" s="327"/>
      <c r="C110" s="327"/>
      <c r="D110" s="155"/>
    </row>
    <row r="111" spans="1:4" ht="16.5" thickBot="1" x14ac:dyDescent="0.3">
      <c r="A111" s="162"/>
      <c r="B111" s="155"/>
      <c r="C111" s="155"/>
      <c r="D111" s="155"/>
    </row>
    <row r="112" spans="1:4" ht="16.5" thickBot="1" x14ac:dyDescent="0.3">
      <c r="A112" s="156">
        <v>4</v>
      </c>
      <c r="B112" s="157" t="s">
        <v>81</v>
      </c>
      <c r="C112" s="158"/>
      <c r="D112" s="159" t="s">
        <v>6</v>
      </c>
    </row>
    <row r="113" spans="1:4" ht="16.5" thickBot="1" x14ac:dyDescent="0.3">
      <c r="A113" s="160" t="s">
        <v>60</v>
      </c>
      <c r="B113" s="161" t="s">
        <v>82</v>
      </c>
      <c r="C113" s="158"/>
      <c r="D113" s="168">
        <f>D91</f>
        <v>330.86164982733089</v>
      </c>
    </row>
    <row r="114" spans="1:4" ht="16.5" thickBot="1" x14ac:dyDescent="0.3">
      <c r="A114" s="160" t="s">
        <v>70</v>
      </c>
      <c r="B114" s="161" t="s">
        <v>83</v>
      </c>
      <c r="C114" s="158"/>
      <c r="D114" s="168">
        <f>D100</f>
        <v>0.73481999727500003</v>
      </c>
    </row>
    <row r="115" spans="1:4" ht="16.5" thickBot="1" x14ac:dyDescent="0.3">
      <c r="A115" s="160" t="s">
        <v>77</v>
      </c>
      <c r="B115" s="161" t="s">
        <v>84</v>
      </c>
      <c r="C115" s="158"/>
      <c r="D115" s="168">
        <f>D107</f>
        <v>0</v>
      </c>
    </row>
    <row r="116" spans="1:4" ht="16.5" thickBot="1" x14ac:dyDescent="0.3">
      <c r="A116" s="324" t="s">
        <v>20</v>
      </c>
      <c r="B116" s="325"/>
      <c r="C116" s="158"/>
      <c r="D116" s="13">
        <f>SUM(D113:D115)</f>
        <v>331.59646982460589</v>
      </c>
    </row>
    <row r="117" spans="1:4" x14ac:dyDescent="0.25">
      <c r="A117" s="155"/>
      <c r="B117" s="155"/>
      <c r="C117" s="155"/>
      <c r="D117" s="155"/>
    </row>
    <row r="118" spans="1:4" x14ac:dyDescent="0.25">
      <c r="A118" s="155"/>
      <c r="B118" s="155"/>
      <c r="C118" s="155"/>
      <c r="D118" s="155"/>
    </row>
    <row r="119" spans="1:4" x14ac:dyDescent="0.25">
      <c r="A119" s="326" t="s">
        <v>85</v>
      </c>
      <c r="B119" s="326"/>
      <c r="C119" s="326"/>
      <c r="D119" s="155"/>
    </row>
    <row r="120" spans="1:4" ht="16.5" thickBot="1" x14ac:dyDescent="0.3">
      <c r="A120" s="155"/>
      <c r="B120" s="155"/>
      <c r="C120" s="155"/>
      <c r="D120" s="155"/>
    </row>
    <row r="121" spans="1:4" ht="16.5" thickBot="1" x14ac:dyDescent="0.3">
      <c r="A121" s="156">
        <v>5</v>
      </c>
      <c r="B121" s="177" t="s">
        <v>86</v>
      </c>
      <c r="C121" s="158"/>
      <c r="D121" s="159" t="s">
        <v>6</v>
      </c>
    </row>
    <row r="122" spans="1:4" ht="16.5" thickBot="1" x14ac:dyDescent="0.3">
      <c r="A122" s="160" t="s">
        <v>7</v>
      </c>
      <c r="B122" s="161" t="s">
        <v>87</v>
      </c>
      <c r="C122" s="158"/>
      <c r="D122" s="19">
        <f>UNIFORMES!F16</f>
        <v>48.666666666666664</v>
      </c>
    </row>
    <row r="123" spans="1:4" ht="16.5" thickBot="1" x14ac:dyDescent="0.3">
      <c r="A123" s="160" t="s">
        <v>9</v>
      </c>
      <c r="B123" s="161" t="s">
        <v>88</v>
      </c>
      <c r="C123" s="158"/>
      <c r="D123" s="19"/>
    </row>
    <row r="124" spans="1:4" x14ac:dyDescent="0.25">
      <c r="A124" s="160" t="s">
        <v>11</v>
      </c>
      <c r="B124" s="161" t="s">
        <v>19</v>
      </c>
      <c r="C124" s="158"/>
      <c r="D124" s="27">
        <v>0</v>
      </c>
    </row>
    <row r="125" spans="1:4" x14ac:dyDescent="0.25">
      <c r="A125" s="324" t="s">
        <v>40</v>
      </c>
      <c r="B125" s="325"/>
      <c r="C125" s="158"/>
      <c r="D125" s="13">
        <f>SUM(D122:D124)</f>
        <v>48.666666666666664</v>
      </c>
    </row>
    <row r="126" spans="1:4" x14ac:dyDescent="0.25">
      <c r="A126" s="155"/>
      <c r="B126" s="155"/>
      <c r="C126" s="155"/>
      <c r="D126" s="155"/>
    </row>
    <row r="127" spans="1:4" x14ac:dyDescent="0.25">
      <c r="A127" s="155"/>
      <c r="B127" s="155"/>
      <c r="C127" s="155"/>
      <c r="D127" s="155"/>
    </row>
    <row r="128" spans="1:4" x14ac:dyDescent="0.25">
      <c r="A128" s="326" t="s">
        <v>89</v>
      </c>
      <c r="B128" s="326"/>
      <c r="C128" s="326"/>
      <c r="D128" s="155"/>
    </row>
    <row r="129" spans="1:4" ht="16.5" thickBot="1" x14ac:dyDescent="0.3">
      <c r="A129" s="155"/>
      <c r="B129" s="155"/>
      <c r="C129" s="155"/>
      <c r="D129" s="155"/>
    </row>
    <row r="130" spans="1:4" ht="16.5" thickBot="1" x14ac:dyDescent="0.3">
      <c r="A130" s="156">
        <v>6</v>
      </c>
      <c r="B130" s="178" t="s">
        <v>90</v>
      </c>
      <c r="C130" s="159" t="s">
        <v>30</v>
      </c>
      <c r="D130" s="159" t="s">
        <v>6</v>
      </c>
    </row>
    <row r="131" spans="1:4" ht="16.5" thickBot="1" x14ac:dyDescent="0.3">
      <c r="A131" s="160" t="s">
        <v>7</v>
      </c>
      <c r="B131" s="164" t="s">
        <v>91</v>
      </c>
      <c r="C131" s="31">
        <v>2.385265E-2</v>
      </c>
      <c r="D131" s="163">
        <f>(D17+D62+D76+D116+D125)*C131</f>
        <v>261.38448961743637</v>
      </c>
    </row>
    <row r="132" spans="1:4" ht="16.5" thickBot="1" x14ac:dyDescent="0.3">
      <c r="A132" s="160" t="s">
        <v>9</v>
      </c>
      <c r="B132" s="164" t="s">
        <v>92</v>
      </c>
      <c r="C132" s="31">
        <v>0.02</v>
      </c>
      <c r="D132" s="163">
        <f>(D17+D62+D76+D116+D125+D131)*C132</f>
        <v>224.39368570260305</v>
      </c>
    </row>
    <row r="133" spans="1:4" ht="16.5" thickBot="1" x14ac:dyDescent="0.3">
      <c r="A133" s="160" t="s">
        <v>11</v>
      </c>
      <c r="B133" s="164" t="s">
        <v>93</v>
      </c>
      <c r="C133" s="20">
        <f>1-(SUM(C134:C136))</f>
        <v>0.91349999999999998</v>
      </c>
      <c r="D133" s="179">
        <f>(D17+D62+D76+D116+D125+D131+D132)/C133</f>
        <v>12527.726295383422</v>
      </c>
    </row>
    <row r="134" spans="1:4" ht="16.5" thickBot="1" x14ac:dyDescent="0.3">
      <c r="A134" s="160"/>
      <c r="B134" s="164" t="s">
        <v>94</v>
      </c>
      <c r="C134" s="31">
        <v>3.6499999999999998E-2</v>
      </c>
      <c r="D134" s="163">
        <f>D133*C134</f>
        <v>457.26200978149484</v>
      </c>
    </row>
    <row r="135" spans="1:4" ht="16.5" thickBot="1" x14ac:dyDescent="0.3">
      <c r="A135" s="160"/>
      <c r="B135" s="164" t="s">
        <v>95</v>
      </c>
      <c r="C135" s="31"/>
      <c r="D135" s="163">
        <f>D133*C135</f>
        <v>0</v>
      </c>
    </row>
    <row r="136" spans="1:4" ht="16.5" thickBot="1" x14ac:dyDescent="0.3">
      <c r="A136" s="160"/>
      <c r="B136" s="164" t="s">
        <v>96</v>
      </c>
      <c r="C136" s="31">
        <v>0.05</v>
      </c>
      <c r="D136" s="163">
        <f>D133*C136</f>
        <v>626.38631476917112</v>
      </c>
    </row>
    <row r="137" spans="1:4" ht="16.5" thickBot="1" x14ac:dyDescent="0.3">
      <c r="A137" s="324" t="s">
        <v>40</v>
      </c>
      <c r="B137" s="331"/>
      <c r="C137" s="171"/>
      <c r="D137" s="163">
        <f>D131+D132+D134+D135+D136</f>
        <v>1569.4264998707054</v>
      </c>
    </row>
    <row r="138" spans="1:4" x14ac:dyDescent="0.25">
      <c r="A138" s="155"/>
      <c r="B138" s="155"/>
      <c r="C138" s="155"/>
      <c r="D138" s="155"/>
    </row>
    <row r="139" spans="1:4" x14ac:dyDescent="0.25">
      <c r="A139" s="155"/>
      <c r="B139" s="155"/>
      <c r="C139" s="155"/>
      <c r="D139" s="155"/>
    </row>
    <row r="140" spans="1:4" x14ac:dyDescent="0.25">
      <c r="A140" s="326" t="s">
        <v>97</v>
      </c>
      <c r="B140" s="326"/>
      <c r="C140" s="326"/>
      <c r="D140" s="155"/>
    </row>
    <row r="141" spans="1:4" x14ac:dyDescent="0.25">
      <c r="A141" s="155"/>
      <c r="B141" s="155"/>
      <c r="C141" s="155"/>
      <c r="D141" s="155"/>
    </row>
    <row r="142" spans="1:4" ht="33.75" customHeight="1" x14ac:dyDescent="0.25">
      <c r="A142" s="156"/>
      <c r="B142" s="180" t="s">
        <v>98</v>
      </c>
      <c r="C142" s="158"/>
      <c r="D142" s="159" t="s">
        <v>6</v>
      </c>
    </row>
    <row r="143" spans="1:4" x14ac:dyDescent="0.25">
      <c r="A143" s="181" t="s">
        <v>7</v>
      </c>
      <c r="B143" s="161" t="s">
        <v>4</v>
      </c>
      <c r="C143" s="158"/>
      <c r="D143" s="182">
        <f>D17</f>
        <v>5911.2690000000002</v>
      </c>
    </row>
    <row r="144" spans="1:4" ht="16.5" thickBot="1" x14ac:dyDescent="0.3">
      <c r="A144" s="181" t="s">
        <v>9</v>
      </c>
      <c r="B144" s="161" t="s">
        <v>21</v>
      </c>
      <c r="C144" s="158"/>
      <c r="D144" s="183">
        <f>D62</f>
        <v>4440.5508097500006</v>
      </c>
    </row>
    <row r="145" spans="1:4" ht="16.5" thickBot="1" x14ac:dyDescent="0.3">
      <c r="A145" s="181" t="s">
        <v>11</v>
      </c>
      <c r="B145" s="161" t="s">
        <v>48</v>
      </c>
      <c r="C145" s="158"/>
      <c r="D145" s="183">
        <f>D76</f>
        <v>226.21684927144335</v>
      </c>
    </row>
    <row r="146" spans="1:4" ht="16.5" thickBot="1" x14ac:dyDescent="0.3">
      <c r="A146" s="181" t="s">
        <v>13</v>
      </c>
      <c r="B146" s="161" t="s">
        <v>58</v>
      </c>
      <c r="C146" s="158"/>
      <c r="D146" s="182">
        <f>D116</f>
        <v>331.59646982460589</v>
      </c>
    </row>
    <row r="147" spans="1:4" ht="16.5" thickBot="1" x14ac:dyDescent="0.3">
      <c r="A147" s="181" t="s">
        <v>15</v>
      </c>
      <c r="B147" s="161" t="s">
        <v>85</v>
      </c>
      <c r="C147" s="158"/>
      <c r="D147" s="182">
        <f>D125</f>
        <v>48.666666666666664</v>
      </c>
    </row>
    <row r="148" spans="1:4" ht="16.5" customHeight="1" thickBot="1" x14ac:dyDescent="0.3">
      <c r="A148" s="324" t="s">
        <v>99</v>
      </c>
      <c r="B148" s="325"/>
      <c r="C148" s="158"/>
      <c r="D148" s="182">
        <f>SUM(D143:D147)</f>
        <v>10958.299795512716</v>
      </c>
    </row>
    <row r="149" spans="1:4" x14ac:dyDescent="0.25">
      <c r="A149" s="181" t="s">
        <v>17</v>
      </c>
      <c r="B149" s="161" t="s">
        <v>100</v>
      </c>
      <c r="C149" s="158"/>
      <c r="D149" s="183">
        <f>D137</f>
        <v>1569.4264998707054</v>
      </c>
    </row>
    <row r="150" spans="1:4" ht="16.5" customHeight="1" x14ac:dyDescent="0.25">
      <c r="A150" s="321" t="s">
        <v>101</v>
      </c>
      <c r="B150" s="322"/>
      <c r="C150" s="323"/>
      <c r="D150" s="184">
        <f>SUM(D148:D149)</f>
        <v>12527.726295383422</v>
      </c>
    </row>
  </sheetData>
  <sheetProtection algorithmName="SHA-512" hashValue="LySPTy+2akQZL1FXQheMo+gWUWFtVST/cVSNiHAqb5aaskYHfREYVTeOeWcvCk7StPr7XkGp2aotEZxRwkVNBQ==" saltValue="CgmOPQxGN/e8uGONEw/1xw==" spinCount="100000" sheet="1" objects="1" scenarios="1"/>
  <mergeCells count="41">
    <mergeCell ref="E47:L47"/>
    <mergeCell ref="E11:N11"/>
    <mergeCell ref="E12:M12"/>
    <mergeCell ref="A137:B137"/>
    <mergeCell ref="A140:C140"/>
    <mergeCell ref="A62:B62"/>
    <mergeCell ref="A17:B17"/>
    <mergeCell ref="A116:B116"/>
    <mergeCell ref="A119:C119"/>
    <mergeCell ref="A125:B125"/>
    <mergeCell ref="A128:C128"/>
    <mergeCell ref="E48:M48"/>
    <mergeCell ref="E49:M49"/>
    <mergeCell ref="E50:L50"/>
    <mergeCell ref="E51:M51"/>
    <mergeCell ref="A1:D1"/>
    <mergeCell ref="A30:D30"/>
    <mergeCell ref="A41:B41"/>
    <mergeCell ref="A65:C65"/>
    <mergeCell ref="A44:C44"/>
    <mergeCell ref="A20:D20"/>
    <mergeCell ref="A22:D22"/>
    <mergeCell ref="A27:B27"/>
    <mergeCell ref="A5:D5"/>
    <mergeCell ref="A4:B4"/>
    <mergeCell ref="C4:D4"/>
    <mergeCell ref="A6:D6"/>
    <mergeCell ref="A7:D7"/>
    <mergeCell ref="A8:D8"/>
    <mergeCell ref="A150:C150"/>
    <mergeCell ref="A76:B76"/>
    <mergeCell ref="A79:C79"/>
    <mergeCell ref="A82:C82"/>
    <mergeCell ref="A53:B53"/>
    <mergeCell ref="A56:C56"/>
    <mergeCell ref="A91:B91"/>
    <mergeCell ref="A93:C93"/>
    <mergeCell ref="A103:C103"/>
    <mergeCell ref="A107:B107"/>
    <mergeCell ref="A110:C110"/>
    <mergeCell ref="A148:B148"/>
  </mergeCells>
  <pageMargins left="0.23622047244094491" right="0.23622047244094491" top="0.74803149606299213" bottom="0.74803149606299213" header="0.31496062992125984" footer="0.31496062992125984"/>
  <pageSetup paperSize="9" scale="43" fitToHeight="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67142-4BA2-40D7-8387-76DA3F7D9BF1}">
  <sheetPr>
    <tabColor theme="7"/>
  </sheetPr>
  <dimension ref="A1:L152"/>
  <sheetViews>
    <sheetView showGridLines="0" view="pageBreakPreview" topLeftCell="A124" zoomScaleNormal="100" zoomScaleSheetLayoutView="100" workbookViewId="0">
      <selection activeCell="C91" sqref="C91"/>
    </sheetView>
  </sheetViews>
  <sheetFormatPr defaultColWidth="9.140625" defaultRowHeight="15.75" x14ac:dyDescent="0.25"/>
  <cols>
    <col min="1" max="1" width="7.140625" style="21" customWidth="1"/>
    <col min="2" max="2" width="50.7109375" style="21" customWidth="1"/>
    <col min="3" max="3" width="15.7109375" style="21" bestFit="1" customWidth="1"/>
    <col min="4" max="4" width="17" style="21" customWidth="1"/>
    <col min="5" max="5" width="15.140625" style="21" customWidth="1"/>
    <col min="6" max="6" width="13.5703125" style="21" bestFit="1" customWidth="1"/>
    <col min="7" max="16384" width="9.140625" style="21"/>
  </cols>
  <sheetData>
    <row r="1" spans="1:12" x14ac:dyDescent="0.25">
      <c r="A1" s="185"/>
      <c r="B1" s="185"/>
      <c r="C1" s="185"/>
      <c r="D1" s="185"/>
    </row>
    <row r="2" spans="1:12" x14ac:dyDescent="0.25">
      <c r="A2" s="349" t="s">
        <v>1</v>
      </c>
      <c r="B2" s="349"/>
      <c r="C2" s="349"/>
      <c r="D2" s="349"/>
    </row>
    <row r="3" spans="1:12" ht="16.5" thickBot="1" x14ac:dyDescent="0.3">
      <c r="A3" s="349"/>
      <c r="B3" s="349"/>
      <c r="C3" s="349"/>
      <c r="D3" s="349"/>
    </row>
    <row r="4" spans="1:12" ht="29.45" customHeight="1" thickBot="1" x14ac:dyDescent="0.3">
      <c r="A4" s="334" t="s">
        <v>2</v>
      </c>
      <c r="B4" s="335"/>
      <c r="C4" s="350" t="s">
        <v>102</v>
      </c>
      <c r="D4" s="351"/>
    </row>
    <row r="5" spans="1:12" x14ac:dyDescent="0.25">
      <c r="A5" s="332" t="s">
        <v>395</v>
      </c>
      <c r="B5" s="332"/>
      <c r="C5" s="333"/>
      <c r="D5" s="333"/>
    </row>
    <row r="6" spans="1:12" x14ac:dyDescent="0.25">
      <c r="A6" s="332" t="s">
        <v>396</v>
      </c>
      <c r="B6" s="332"/>
      <c r="C6" s="332"/>
      <c r="D6" s="332"/>
    </row>
    <row r="7" spans="1:12" x14ac:dyDescent="0.25">
      <c r="A7" s="338" t="s">
        <v>394</v>
      </c>
      <c r="B7" s="338"/>
      <c r="C7" s="338"/>
      <c r="D7" s="338"/>
    </row>
    <row r="8" spans="1:12" x14ac:dyDescent="0.25">
      <c r="A8" s="339" t="s">
        <v>4</v>
      </c>
      <c r="B8" s="339"/>
      <c r="C8" s="339"/>
      <c r="D8" s="339"/>
    </row>
    <row r="9" spans="1:12" ht="16.5" thickBot="1" x14ac:dyDescent="0.3">
      <c r="A9" s="155"/>
      <c r="B9" s="155"/>
      <c r="C9" s="155"/>
      <c r="D9" s="155"/>
    </row>
    <row r="10" spans="1:12" ht="16.5" thickBot="1" x14ac:dyDescent="0.3">
      <c r="A10" s="156">
        <v>1</v>
      </c>
      <c r="B10" s="157" t="s">
        <v>5</v>
      </c>
      <c r="C10" s="158"/>
      <c r="D10" s="186" t="s">
        <v>6</v>
      </c>
    </row>
    <row r="11" spans="1:12" ht="16.5" thickBot="1" x14ac:dyDescent="0.3">
      <c r="A11" s="160" t="s">
        <v>7</v>
      </c>
      <c r="B11" s="161" t="s">
        <v>8</v>
      </c>
      <c r="C11" s="187"/>
      <c r="D11" s="33">
        <f>'CHEFE BRIG 12X36'!D11/220*12*4.35</f>
        <v>1078.9099363636365</v>
      </c>
      <c r="E11" s="352"/>
      <c r="F11" s="352"/>
      <c r="G11" s="352"/>
      <c r="H11" s="352"/>
      <c r="I11" s="352"/>
      <c r="J11" s="352"/>
      <c r="K11" s="352"/>
      <c r="L11" s="352"/>
    </row>
    <row r="12" spans="1:12" ht="16.5" thickBot="1" x14ac:dyDescent="0.3">
      <c r="A12" s="160" t="s">
        <v>9</v>
      </c>
      <c r="B12" s="161" t="s">
        <v>10</v>
      </c>
      <c r="C12" s="23">
        <v>0.3</v>
      </c>
      <c r="D12" s="10">
        <f>D11*C12</f>
        <v>323.67298090909094</v>
      </c>
      <c r="E12" s="342"/>
      <c r="F12" s="343"/>
      <c r="G12" s="343"/>
      <c r="H12" s="343"/>
      <c r="I12" s="343"/>
      <c r="J12" s="343"/>
      <c r="K12" s="343"/>
      <c r="L12" s="343"/>
    </row>
    <row r="13" spans="1:12" ht="16.5" thickBot="1" x14ac:dyDescent="0.3">
      <c r="A13" s="160" t="s">
        <v>11</v>
      </c>
      <c r="B13" s="161" t="s">
        <v>12</v>
      </c>
      <c r="C13" s="158"/>
      <c r="D13" s="10">
        <v>0</v>
      </c>
    </row>
    <row r="14" spans="1:12" x14ac:dyDescent="0.25">
      <c r="A14" s="160" t="s">
        <v>13</v>
      </c>
      <c r="B14" s="161" t="s">
        <v>14</v>
      </c>
      <c r="C14" s="158"/>
      <c r="D14" s="10">
        <f>((D11+D12)/220*0.2)*C14</f>
        <v>0</v>
      </c>
    </row>
    <row r="15" spans="1:12" ht="16.5" thickBot="1" x14ac:dyDescent="0.3">
      <c r="A15" s="160" t="s">
        <v>15</v>
      </c>
      <c r="B15" s="161" t="s">
        <v>16</v>
      </c>
      <c r="C15" s="158"/>
      <c r="D15" s="10">
        <f>PRODUCT(((C14/52.5)*60)-C14)*(((D11+D12)/220*1.2))</f>
        <v>0</v>
      </c>
    </row>
    <row r="16" spans="1:12" ht="16.5" thickBot="1" x14ac:dyDescent="0.3">
      <c r="A16" s="160" t="s">
        <v>17</v>
      </c>
      <c r="B16" s="161" t="s">
        <v>19</v>
      </c>
      <c r="C16" s="158"/>
      <c r="D16" s="22"/>
    </row>
    <row r="17" spans="1:4" x14ac:dyDescent="0.25">
      <c r="A17" s="324" t="s">
        <v>20</v>
      </c>
      <c r="B17" s="325"/>
      <c r="C17" s="158"/>
      <c r="D17" s="11">
        <f>SUM(D11:D16)</f>
        <v>1402.5829172727274</v>
      </c>
    </row>
    <row r="18" spans="1:4" x14ac:dyDescent="0.25">
      <c r="A18" s="155"/>
      <c r="B18" s="155"/>
      <c r="C18" s="155"/>
      <c r="D18" s="155"/>
    </row>
    <row r="19" spans="1:4" x14ac:dyDescent="0.25">
      <c r="A19" s="155"/>
      <c r="B19" s="155"/>
      <c r="C19" s="155"/>
      <c r="D19" s="155"/>
    </row>
    <row r="20" spans="1:4" x14ac:dyDescent="0.25">
      <c r="A20" s="326" t="s">
        <v>21</v>
      </c>
      <c r="B20" s="326"/>
      <c r="C20" s="326"/>
      <c r="D20" s="326"/>
    </row>
    <row r="21" spans="1:4" x14ac:dyDescent="0.25">
      <c r="A21" s="162"/>
      <c r="B21" s="155"/>
      <c r="C21" s="155"/>
      <c r="D21" s="155"/>
    </row>
    <row r="22" spans="1:4" x14ac:dyDescent="0.25">
      <c r="A22" s="327" t="s">
        <v>22</v>
      </c>
      <c r="B22" s="327"/>
      <c r="C22" s="327"/>
      <c r="D22" s="327"/>
    </row>
    <row r="23" spans="1:4" x14ac:dyDescent="0.25">
      <c r="A23" s="155"/>
      <c r="B23" s="155"/>
      <c r="C23" s="155"/>
      <c r="D23" s="155"/>
    </row>
    <row r="24" spans="1:4" ht="31.5" x14ac:dyDescent="0.25">
      <c r="A24" s="156" t="s">
        <v>23</v>
      </c>
      <c r="B24" s="157" t="s">
        <v>24</v>
      </c>
      <c r="C24" s="158"/>
      <c r="D24" s="159" t="s">
        <v>6</v>
      </c>
    </row>
    <row r="25" spans="1:4" x14ac:dyDescent="0.25">
      <c r="A25" s="160" t="s">
        <v>7</v>
      </c>
      <c r="B25" s="161" t="s">
        <v>25</v>
      </c>
      <c r="C25" s="158"/>
      <c r="D25" s="163">
        <f>D17/12</f>
        <v>116.88190977272728</v>
      </c>
    </row>
    <row r="26" spans="1:4" x14ac:dyDescent="0.25">
      <c r="A26" s="160" t="s">
        <v>9</v>
      </c>
      <c r="B26" s="161" t="s">
        <v>26</v>
      </c>
      <c r="C26" s="158"/>
      <c r="D26" s="163">
        <f>(D17/12)+(D17*1/3/12)</f>
        <v>155.84254636363639</v>
      </c>
    </row>
    <row r="27" spans="1:4" x14ac:dyDescent="0.25">
      <c r="A27" s="324" t="s">
        <v>20</v>
      </c>
      <c r="B27" s="325"/>
      <c r="C27" s="158"/>
      <c r="D27" s="163">
        <f>SUM(D25:D26)</f>
        <v>272.72445613636364</v>
      </c>
    </row>
    <row r="28" spans="1:4" x14ac:dyDescent="0.25">
      <c r="A28" s="155"/>
      <c r="B28" s="155"/>
      <c r="C28" s="155"/>
      <c r="D28" s="155"/>
    </row>
    <row r="29" spans="1:4" x14ac:dyDescent="0.25">
      <c r="A29" s="155"/>
      <c r="B29" s="155"/>
      <c r="C29" s="155"/>
      <c r="D29" s="155"/>
    </row>
    <row r="30" spans="1:4" ht="32.25" customHeight="1" x14ac:dyDescent="0.25">
      <c r="A30" s="330" t="s">
        <v>27</v>
      </c>
      <c r="B30" s="330"/>
      <c r="C30" s="330"/>
      <c r="D30" s="330"/>
    </row>
    <row r="31" spans="1:4" x14ac:dyDescent="0.25">
      <c r="A31" s="155"/>
      <c r="B31" s="155"/>
      <c r="C31" s="155"/>
      <c r="D31" s="155"/>
    </row>
    <row r="32" spans="1:4" ht="31.5" x14ac:dyDescent="0.25">
      <c r="A32" s="156" t="s">
        <v>28</v>
      </c>
      <c r="B32" s="159" t="s">
        <v>29</v>
      </c>
      <c r="C32" s="159" t="s">
        <v>30</v>
      </c>
      <c r="D32" s="159" t="s">
        <v>6</v>
      </c>
    </row>
    <row r="33" spans="1:12" x14ac:dyDescent="0.25">
      <c r="A33" s="160" t="s">
        <v>7</v>
      </c>
      <c r="B33" s="164" t="s">
        <v>31</v>
      </c>
      <c r="C33" s="24">
        <f>'CHEFE BRIG 12X36'!C33</f>
        <v>0.2</v>
      </c>
      <c r="D33" s="163">
        <f>($D$17*C33)+($D$27*C33)</f>
        <v>335.0614746818182</v>
      </c>
    </row>
    <row r="34" spans="1:12" x14ac:dyDescent="0.25">
      <c r="A34" s="160" t="s">
        <v>9</v>
      </c>
      <c r="B34" s="164" t="s">
        <v>32</v>
      </c>
      <c r="C34" s="24">
        <f>'CHEFE BRIG 12X36'!C34</f>
        <v>2.5000000000000001E-2</v>
      </c>
      <c r="D34" s="163">
        <f>($D$17*C34)+($D$27*C34)</f>
        <v>41.882684335227275</v>
      </c>
    </row>
    <row r="35" spans="1:12" x14ac:dyDescent="0.25">
      <c r="A35" s="160" t="s">
        <v>11</v>
      </c>
      <c r="B35" s="164" t="s">
        <v>33</v>
      </c>
      <c r="C35" s="24">
        <f>'CHEFE BRIG 12X36'!C35</f>
        <v>1.4999999999999999E-2</v>
      </c>
      <c r="D35" s="163">
        <f t="shared" ref="D35:D40" si="0">($D$17*C35)+($D$27*C35)</f>
        <v>25.129610601136363</v>
      </c>
    </row>
    <row r="36" spans="1:12" x14ac:dyDescent="0.25">
      <c r="A36" s="160" t="s">
        <v>13</v>
      </c>
      <c r="B36" s="164" t="s">
        <v>34</v>
      </c>
      <c r="C36" s="24">
        <f>'CHEFE BRIG 12X36'!C36</f>
        <v>1.4999999999999999E-2</v>
      </c>
      <c r="D36" s="163">
        <f t="shared" si="0"/>
        <v>25.129610601136363</v>
      </c>
    </row>
    <row r="37" spans="1:12" x14ac:dyDescent="0.25">
      <c r="A37" s="160" t="s">
        <v>15</v>
      </c>
      <c r="B37" s="164" t="s">
        <v>35</v>
      </c>
      <c r="C37" s="24">
        <f>'CHEFE BRIG 12X36'!C37</f>
        <v>0.01</v>
      </c>
      <c r="D37" s="163">
        <f t="shared" si="0"/>
        <v>16.753073734090911</v>
      </c>
    </row>
    <row r="38" spans="1:12" x14ac:dyDescent="0.25">
      <c r="A38" s="160" t="s">
        <v>17</v>
      </c>
      <c r="B38" s="164" t="s">
        <v>36</v>
      </c>
      <c r="C38" s="24">
        <f>'CHEFE BRIG 12X36'!C38</f>
        <v>6.0000000000000001E-3</v>
      </c>
      <c r="D38" s="163">
        <f t="shared" si="0"/>
        <v>10.051844240454546</v>
      </c>
    </row>
    <row r="39" spans="1:12" x14ac:dyDescent="0.25">
      <c r="A39" s="160" t="s">
        <v>18</v>
      </c>
      <c r="B39" s="164" t="s">
        <v>37</v>
      </c>
      <c r="C39" s="24">
        <f>'CHEFE BRIG 12X36'!C39</f>
        <v>2E-3</v>
      </c>
      <c r="D39" s="163">
        <f t="shared" si="0"/>
        <v>3.3506147468181817</v>
      </c>
    </row>
    <row r="40" spans="1:12" x14ac:dyDescent="0.25">
      <c r="A40" s="160" t="s">
        <v>38</v>
      </c>
      <c r="B40" s="164" t="s">
        <v>39</v>
      </c>
      <c r="C40" s="24">
        <f>'CHEFE BRIG 12X36'!C40</f>
        <v>0.08</v>
      </c>
      <c r="D40" s="163">
        <f t="shared" si="0"/>
        <v>134.02458987272729</v>
      </c>
    </row>
    <row r="41" spans="1:12" x14ac:dyDescent="0.25">
      <c r="A41" s="324" t="s">
        <v>40</v>
      </c>
      <c r="B41" s="331"/>
      <c r="C41" s="165">
        <f>SUM(C33:C40)</f>
        <v>0.35300000000000004</v>
      </c>
      <c r="D41" s="163">
        <f>SUM(D33:D40)</f>
        <v>591.38350281340911</v>
      </c>
    </row>
    <row r="42" spans="1:12" x14ac:dyDescent="0.25">
      <c r="A42" s="155"/>
      <c r="B42" s="155"/>
      <c r="C42" s="155"/>
      <c r="D42" s="155"/>
    </row>
    <row r="43" spans="1:12" x14ac:dyDescent="0.25">
      <c r="A43" s="155"/>
      <c r="B43" s="155"/>
      <c r="C43" s="155"/>
      <c r="D43" s="155"/>
    </row>
    <row r="44" spans="1:12" x14ac:dyDescent="0.25">
      <c r="A44" s="327" t="s">
        <v>41</v>
      </c>
      <c r="B44" s="327"/>
      <c r="C44" s="327"/>
      <c r="D44" s="155"/>
    </row>
    <row r="45" spans="1:12" x14ac:dyDescent="0.25">
      <c r="A45" s="155"/>
      <c r="B45" s="155"/>
      <c r="C45" s="155"/>
      <c r="D45" s="155"/>
    </row>
    <row r="46" spans="1:12" ht="16.5" thickBot="1" x14ac:dyDescent="0.3">
      <c r="A46" s="156" t="s">
        <v>42</v>
      </c>
      <c r="B46" s="157" t="s">
        <v>43</v>
      </c>
      <c r="C46" s="188" t="s">
        <v>328</v>
      </c>
      <c r="D46" s="159" t="s">
        <v>6</v>
      </c>
    </row>
    <row r="47" spans="1:12" ht="58.9" customHeight="1" thickBot="1" x14ac:dyDescent="0.3">
      <c r="A47" s="160" t="s">
        <v>7</v>
      </c>
      <c r="B47" s="161" t="s">
        <v>44</v>
      </c>
      <c r="C47" s="26">
        <f>'CHEFE BRIG 12X36'!C47</f>
        <v>5.5</v>
      </c>
      <c r="D47" s="12">
        <f>IF((C47*2*4.35-6%*D11)&gt;0,(C47*2*4.35-6%*D11),0)</f>
        <v>0</v>
      </c>
      <c r="E47" s="340"/>
      <c r="F47" s="341"/>
      <c r="G47" s="341"/>
      <c r="H47" s="341"/>
      <c r="I47" s="341"/>
      <c r="J47" s="341"/>
      <c r="K47" s="341"/>
      <c r="L47" s="341"/>
    </row>
    <row r="48" spans="1:12" ht="60.6" customHeight="1" thickBot="1" x14ac:dyDescent="0.3">
      <c r="A48" s="160" t="s">
        <v>9</v>
      </c>
      <c r="B48" s="161" t="s">
        <v>45</v>
      </c>
      <c r="C48" s="190">
        <f>'CHEFE BRIG 12X36'!C48</f>
        <v>45.23</v>
      </c>
      <c r="D48" s="12">
        <f>IF((C48-0.3)*4.35 &lt; 0, "", (C48-0.3)*4.35)</f>
        <v>195.44549999999998</v>
      </c>
      <c r="E48" s="346"/>
      <c r="F48" s="347"/>
      <c r="G48" s="347"/>
      <c r="H48" s="347"/>
      <c r="I48" s="347"/>
      <c r="J48" s="347"/>
      <c r="K48" s="347"/>
      <c r="L48" s="347"/>
    </row>
    <row r="49" spans="1:12" ht="16.5" thickBot="1" x14ac:dyDescent="0.3">
      <c r="A49" s="160" t="s">
        <v>11</v>
      </c>
      <c r="B49" s="161" t="s">
        <v>320</v>
      </c>
      <c r="C49" s="158"/>
      <c r="D49" s="27">
        <f>'CHEFE BRIG 12X36'!D49</f>
        <v>184.55</v>
      </c>
      <c r="E49" s="346"/>
      <c r="F49" s="347"/>
      <c r="G49" s="347"/>
      <c r="H49" s="347"/>
      <c r="I49" s="347"/>
      <c r="J49" s="347"/>
      <c r="K49" s="347"/>
      <c r="L49" s="347"/>
    </row>
    <row r="50" spans="1:12" ht="16.5" thickBot="1" x14ac:dyDescent="0.3">
      <c r="A50" s="160" t="s">
        <v>13</v>
      </c>
      <c r="B50" s="161" t="s">
        <v>326</v>
      </c>
      <c r="C50" s="158"/>
      <c r="D50" s="27">
        <f>'CHEFE BRIG 12X36'!D50</f>
        <v>12.81</v>
      </c>
      <c r="E50" s="344"/>
      <c r="F50" s="345"/>
      <c r="G50" s="345"/>
      <c r="H50" s="345"/>
      <c r="I50" s="345"/>
      <c r="J50" s="345"/>
      <c r="K50" s="345"/>
      <c r="L50" s="345"/>
    </row>
    <row r="51" spans="1:12" ht="16.5" thickBot="1" x14ac:dyDescent="0.3">
      <c r="A51" s="160" t="s">
        <v>15</v>
      </c>
      <c r="B51" s="161" t="s">
        <v>325</v>
      </c>
      <c r="C51" s="158"/>
      <c r="D51" s="27"/>
      <c r="E51" s="340"/>
      <c r="F51" s="341"/>
      <c r="G51" s="341"/>
      <c r="H51" s="341"/>
      <c r="I51" s="341"/>
      <c r="J51" s="341"/>
      <c r="K51" s="341"/>
      <c r="L51" s="341"/>
    </row>
    <row r="52" spans="1:12" ht="16.5" thickBot="1" x14ac:dyDescent="0.3">
      <c r="A52" s="160" t="s">
        <v>17</v>
      </c>
      <c r="B52" s="161" t="s">
        <v>19</v>
      </c>
      <c r="C52" s="158"/>
      <c r="D52" s="27">
        <f>'CHEFE BRIG 12X36'!D52</f>
        <v>15.02</v>
      </c>
    </row>
    <row r="53" spans="1:12" x14ac:dyDescent="0.25">
      <c r="A53" s="324" t="s">
        <v>20</v>
      </c>
      <c r="B53" s="325"/>
      <c r="C53" s="158"/>
      <c r="D53" s="13">
        <f>SUM(D47:D52)</f>
        <v>407.82549999999998</v>
      </c>
    </row>
    <row r="54" spans="1:12" x14ac:dyDescent="0.25">
      <c r="A54" s="155"/>
      <c r="B54" s="155"/>
      <c r="C54" s="155"/>
      <c r="D54" s="155"/>
    </row>
    <row r="55" spans="1:12" x14ac:dyDescent="0.25">
      <c r="A55" s="155"/>
      <c r="B55" s="155"/>
      <c r="C55" s="155"/>
      <c r="D55" s="155"/>
    </row>
    <row r="56" spans="1:12" x14ac:dyDescent="0.25">
      <c r="A56" s="327" t="s">
        <v>46</v>
      </c>
      <c r="B56" s="327"/>
      <c r="C56" s="327"/>
      <c r="D56" s="327"/>
    </row>
    <row r="57" spans="1:12" ht="16.5" thickBot="1" x14ac:dyDescent="0.3">
      <c r="A57" s="155"/>
      <c r="B57" s="155"/>
      <c r="C57" s="155"/>
      <c r="D57" s="155"/>
    </row>
    <row r="58" spans="1:12" ht="31.5" x14ac:dyDescent="0.25">
      <c r="A58" s="156">
        <v>2</v>
      </c>
      <c r="B58" s="157" t="s">
        <v>47</v>
      </c>
      <c r="C58" s="158"/>
      <c r="D58" s="159" t="s">
        <v>6</v>
      </c>
    </row>
    <row r="59" spans="1:12" ht="30" x14ac:dyDescent="0.25">
      <c r="A59" s="160" t="s">
        <v>23</v>
      </c>
      <c r="B59" s="161" t="s">
        <v>24</v>
      </c>
      <c r="C59" s="158"/>
      <c r="D59" s="163">
        <f>D27</f>
        <v>272.72445613636364</v>
      </c>
    </row>
    <row r="60" spans="1:12" x14ac:dyDescent="0.25">
      <c r="A60" s="160" t="s">
        <v>28</v>
      </c>
      <c r="B60" s="161" t="s">
        <v>29</v>
      </c>
      <c r="C60" s="158"/>
      <c r="D60" s="163">
        <f>D41</f>
        <v>591.38350281340911</v>
      </c>
    </row>
    <row r="61" spans="1:12" x14ac:dyDescent="0.25">
      <c r="A61" s="160" t="s">
        <v>42</v>
      </c>
      <c r="B61" s="161" t="s">
        <v>43</v>
      </c>
      <c r="C61" s="158"/>
      <c r="D61" s="168">
        <f>D53</f>
        <v>407.82549999999998</v>
      </c>
    </row>
    <row r="62" spans="1:12" x14ac:dyDescent="0.25">
      <c r="A62" s="324" t="s">
        <v>20</v>
      </c>
      <c r="B62" s="325"/>
      <c r="C62" s="158"/>
      <c r="D62" s="163">
        <f>SUM(D59:D61)</f>
        <v>1271.9334589497728</v>
      </c>
    </row>
    <row r="63" spans="1:12" x14ac:dyDescent="0.25">
      <c r="A63" s="169"/>
      <c r="B63" s="155"/>
      <c r="C63" s="155"/>
      <c r="D63" s="155"/>
    </row>
    <row r="64" spans="1:12" x14ac:dyDescent="0.25">
      <c r="A64" s="155"/>
      <c r="B64" s="155"/>
      <c r="C64" s="155"/>
      <c r="D64" s="155"/>
    </row>
    <row r="65" spans="1:4" x14ac:dyDescent="0.25">
      <c r="A65" s="326" t="s">
        <v>48</v>
      </c>
      <c r="B65" s="326"/>
      <c r="C65" s="326"/>
      <c r="D65" s="155"/>
    </row>
    <row r="66" spans="1:4" x14ac:dyDescent="0.25">
      <c r="A66" s="155"/>
      <c r="B66" s="155"/>
      <c r="C66" s="155"/>
      <c r="D66" s="155"/>
    </row>
    <row r="67" spans="1:4" x14ac:dyDescent="0.25">
      <c r="A67" s="156">
        <v>3</v>
      </c>
      <c r="B67" s="157" t="s">
        <v>49</v>
      </c>
      <c r="C67" s="158" t="s">
        <v>50</v>
      </c>
      <c r="D67" s="159" t="s">
        <v>6</v>
      </c>
    </row>
    <row r="68" spans="1:4" x14ac:dyDescent="0.25">
      <c r="A68" s="160" t="s">
        <v>7</v>
      </c>
      <c r="B68" s="170" t="s">
        <v>51</v>
      </c>
      <c r="C68" s="28">
        <f>'CHEFE BRIG 12X36'!C68</f>
        <v>4.0000000000000002E-4</v>
      </c>
      <c r="D68" s="163">
        <f>(D17/12)*C68</f>
        <v>4.6752763909090916E-2</v>
      </c>
    </row>
    <row r="69" spans="1:4" ht="30" x14ac:dyDescent="0.25">
      <c r="A69" s="160" t="s">
        <v>9</v>
      </c>
      <c r="B69" s="170" t="s">
        <v>52</v>
      </c>
      <c r="C69" s="158"/>
      <c r="D69" s="163">
        <f>(D68*C40)</f>
        <v>3.7402211127272734E-3</v>
      </c>
    </row>
    <row r="70" spans="1:4" ht="30" x14ac:dyDescent="0.25">
      <c r="A70" s="160" t="s">
        <v>11</v>
      </c>
      <c r="B70" s="170" t="s">
        <v>53</v>
      </c>
      <c r="C70" s="158"/>
      <c r="D70" s="171"/>
    </row>
    <row r="71" spans="1:4" x14ac:dyDescent="0.25">
      <c r="A71" s="160" t="s">
        <v>13</v>
      </c>
      <c r="B71" s="170" t="s">
        <v>54</v>
      </c>
      <c r="C71" s="29">
        <f>'CHEFE BRIG 12X36'!C71</f>
        <v>4.0000000000000002E-4</v>
      </c>
      <c r="D71" s="163">
        <f>(((D17/30)/12)*7)*C71</f>
        <v>1.0908978245454547E-2</v>
      </c>
    </row>
    <row r="72" spans="1:4" ht="30" x14ac:dyDescent="0.25">
      <c r="A72" s="160" t="s">
        <v>15</v>
      </c>
      <c r="B72" s="170" t="s">
        <v>55</v>
      </c>
      <c r="C72" s="172"/>
      <c r="D72" s="173">
        <f>(D71*C41)</f>
        <v>3.8508693206454553E-3</v>
      </c>
    </row>
    <row r="73" spans="1:4" ht="30" x14ac:dyDescent="0.25">
      <c r="A73" s="160" t="s">
        <v>17</v>
      </c>
      <c r="B73" s="170" t="s">
        <v>56</v>
      </c>
      <c r="C73" s="158"/>
      <c r="D73" s="174">
        <f>SUM(D74:D75)</f>
        <v>53.609835949090922</v>
      </c>
    </row>
    <row r="74" spans="1:4" x14ac:dyDescent="0.25">
      <c r="A74" s="175"/>
      <c r="B74" s="170" t="s">
        <v>39</v>
      </c>
      <c r="C74" s="14">
        <v>0.4</v>
      </c>
      <c r="D74" s="163">
        <f>((((D17+D25+D26)*C74))*C40)</f>
        <v>53.609835949090922</v>
      </c>
    </row>
    <row r="75" spans="1:4" x14ac:dyDescent="0.25">
      <c r="A75" s="175"/>
      <c r="B75" s="170" t="s">
        <v>57</v>
      </c>
      <c r="C75" s="15">
        <v>0</v>
      </c>
      <c r="D75" s="163">
        <f>((((D17+D25+D26)*C75))*C40)</f>
        <v>0</v>
      </c>
    </row>
    <row r="76" spans="1:4" x14ac:dyDescent="0.25">
      <c r="A76" s="324" t="s">
        <v>20</v>
      </c>
      <c r="B76" s="325"/>
      <c r="C76" s="158"/>
      <c r="D76" s="163">
        <f>D68+D69+D71+D72+D73</f>
        <v>53.675088781678838</v>
      </c>
    </row>
    <row r="77" spans="1:4" x14ac:dyDescent="0.25">
      <c r="A77" s="155"/>
      <c r="B77" s="155"/>
      <c r="C77" s="155"/>
      <c r="D77" s="155"/>
    </row>
    <row r="78" spans="1:4" x14ac:dyDescent="0.25">
      <c r="A78" s="155"/>
      <c r="B78" s="155"/>
      <c r="C78" s="155"/>
      <c r="D78" s="155"/>
    </row>
    <row r="79" spans="1:4" x14ac:dyDescent="0.25">
      <c r="A79" s="326" t="s">
        <v>58</v>
      </c>
      <c r="B79" s="326"/>
      <c r="C79" s="326"/>
      <c r="D79" s="155"/>
    </row>
    <row r="80" spans="1:4" x14ac:dyDescent="0.25">
      <c r="A80" s="155"/>
      <c r="B80" s="155"/>
      <c r="C80" s="155"/>
      <c r="D80" s="155"/>
    </row>
    <row r="81" spans="1:4" x14ac:dyDescent="0.25">
      <c r="A81" s="155"/>
      <c r="B81" s="155"/>
      <c r="C81" s="155"/>
      <c r="D81" s="155"/>
    </row>
    <row r="82" spans="1:4" x14ac:dyDescent="0.25">
      <c r="A82" s="327" t="s">
        <v>59</v>
      </c>
      <c r="B82" s="327"/>
      <c r="C82" s="327"/>
      <c r="D82" s="155"/>
    </row>
    <row r="83" spans="1:4" x14ac:dyDescent="0.25">
      <c r="A83" s="162"/>
      <c r="B83" s="155"/>
      <c r="C83" s="155"/>
      <c r="D83" s="155"/>
    </row>
    <row r="84" spans="1:4" x14ac:dyDescent="0.25">
      <c r="A84" s="156" t="s">
        <v>60</v>
      </c>
      <c r="B84" s="157" t="s">
        <v>61</v>
      </c>
      <c r="C84" s="176" t="s">
        <v>62</v>
      </c>
      <c r="D84" s="159" t="s">
        <v>6</v>
      </c>
    </row>
    <row r="85" spans="1:4" x14ac:dyDescent="0.25">
      <c r="A85" s="160" t="s">
        <v>7</v>
      </c>
      <c r="B85" s="161" t="s">
        <v>63</v>
      </c>
      <c r="C85" s="16">
        <v>30</v>
      </c>
      <c r="D85" s="163">
        <f>(($D$17+$D$27+$D$100+$D$122+$D$53+$D$68+$D$71-$D$47)/30)*C85/12</f>
        <v>177.66929621355999</v>
      </c>
    </row>
    <row r="86" spans="1:4" x14ac:dyDescent="0.25">
      <c r="A86" s="160" t="s">
        <v>9</v>
      </c>
      <c r="B86" s="161" t="s">
        <v>64</v>
      </c>
      <c r="C86" s="30">
        <f>'CHEFE BRIG 12X36'!C86</f>
        <v>0.02</v>
      </c>
      <c r="D86" s="163">
        <f>(($D$17+$D$27+$D$100+$D$122+$D$53+$D$68+$D$71-$D$47)/30)*C86/12</f>
        <v>0.11844619747570666</v>
      </c>
    </row>
    <row r="87" spans="1:4" x14ac:dyDescent="0.25">
      <c r="A87" s="160" t="s">
        <v>11</v>
      </c>
      <c r="B87" s="161" t="s">
        <v>65</v>
      </c>
      <c r="C87" s="30">
        <f>'CHEFE BRIG 12X36'!C87</f>
        <v>0.02</v>
      </c>
      <c r="D87" s="163">
        <f>(($D$17+$D$27+$D$100+$D$122+$D$53+$D$68+$D$71-$D$47)/30)*C87/12</f>
        <v>0.11844619747570666</v>
      </c>
    </row>
    <row r="88" spans="1:4" ht="30" x14ac:dyDescent="0.25">
      <c r="A88" s="160" t="s">
        <v>13</v>
      </c>
      <c r="B88" s="161" t="s">
        <v>66</v>
      </c>
      <c r="C88" s="30">
        <f>'CHEFE BRIG 12X36'!C88</f>
        <v>0.02</v>
      </c>
      <c r="D88" s="163">
        <f>(($D$17+$D$27+$D$100+$D$122+$D$53+$D$68+$D$71-$D$47)/30)*C88/12</f>
        <v>0.11844619747570666</v>
      </c>
    </row>
    <row r="89" spans="1:4" ht="30" x14ac:dyDescent="0.25">
      <c r="A89" s="160" t="s">
        <v>15</v>
      </c>
      <c r="B89" s="161" t="s">
        <v>67</v>
      </c>
      <c r="C89" s="17">
        <v>0</v>
      </c>
      <c r="D89" s="163">
        <f>D100</f>
        <v>0.1743527448079773</v>
      </c>
    </row>
    <row r="90" spans="1:4" ht="30" x14ac:dyDescent="0.25">
      <c r="A90" s="160" t="s">
        <v>17</v>
      </c>
      <c r="B90" s="161" t="s">
        <v>68</v>
      </c>
      <c r="C90" s="30">
        <v>-15</v>
      </c>
      <c r="D90" s="163">
        <f>(($D$17+$D$27+$D$100+$D$122+$D$53+$D$68+$D$71-$D$47)/30)*C90/12</f>
        <v>-88.834648106779994</v>
      </c>
    </row>
    <row r="91" spans="1:4" x14ac:dyDescent="0.25">
      <c r="A91" s="324" t="s">
        <v>40</v>
      </c>
      <c r="B91" s="325"/>
      <c r="C91" s="158"/>
      <c r="D91" s="13">
        <f>SUM(D85:D90)-D89</f>
        <v>89.189986699207154</v>
      </c>
    </row>
    <row r="92" spans="1:4" x14ac:dyDescent="0.25">
      <c r="A92" s="155"/>
      <c r="B92" s="155"/>
      <c r="C92" s="155"/>
      <c r="D92" s="155"/>
    </row>
    <row r="93" spans="1:4" x14ac:dyDescent="0.25">
      <c r="A93" s="327" t="s">
        <v>69</v>
      </c>
      <c r="B93" s="327"/>
      <c r="C93" s="327"/>
      <c r="D93" s="155"/>
    </row>
    <row r="94" spans="1:4" x14ac:dyDescent="0.25">
      <c r="A94" s="155"/>
      <c r="B94" s="155"/>
      <c r="C94" s="155"/>
      <c r="D94" s="155"/>
    </row>
    <row r="95" spans="1:4" x14ac:dyDescent="0.25">
      <c r="A95" s="156" t="s">
        <v>70</v>
      </c>
      <c r="B95" s="157" t="s">
        <v>61</v>
      </c>
      <c r="C95" s="176" t="s">
        <v>50</v>
      </c>
      <c r="D95" s="159" t="s">
        <v>6</v>
      </c>
    </row>
    <row r="96" spans="1:4" ht="30" x14ac:dyDescent="0.25">
      <c r="A96" s="160" t="s">
        <v>7</v>
      </c>
      <c r="B96" s="161" t="s">
        <v>71</v>
      </c>
      <c r="C96" s="29">
        <f>'CHEFE BRIG 12X36'!C96</f>
        <v>6.9999999999999999E-4</v>
      </c>
      <c r="D96" s="163">
        <f>(((D17+1/3*D17)*4/12))/12*C96</f>
        <v>3.6363260818181822E-2</v>
      </c>
    </row>
    <row r="97" spans="1:4" ht="45" x14ac:dyDescent="0.25">
      <c r="A97" s="160" t="s">
        <v>9</v>
      </c>
      <c r="B97" s="161" t="s">
        <v>72</v>
      </c>
      <c r="C97" s="18">
        <v>0</v>
      </c>
      <c r="D97" s="163">
        <f>D96*C41</f>
        <v>1.2836231068818184E-2</v>
      </c>
    </row>
    <row r="98" spans="1:4" ht="45" x14ac:dyDescent="0.25">
      <c r="A98" s="160" t="s">
        <v>11</v>
      </c>
      <c r="B98" s="161" t="s">
        <v>73</v>
      </c>
      <c r="C98" s="18">
        <v>0</v>
      </c>
      <c r="D98" s="163">
        <f>(((D17+D17/12)*(4/12)*C96)*C41)</f>
        <v>0.12515325292097729</v>
      </c>
    </row>
    <row r="99" spans="1:4" x14ac:dyDescent="0.25">
      <c r="A99" s="160" t="s">
        <v>13</v>
      </c>
      <c r="B99" s="161" t="s">
        <v>74</v>
      </c>
      <c r="C99" s="18">
        <v>0</v>
      </c>
      <c r="D99" s="163">
        <v>0</v>
      </c>
    </row>
    <row r="100" spans="1:4" x14ac:dyDescent="0.25">
      <c r="A100" s="160"/>
      <c r="B100" s="161" t="s">
        <v>75</v>
      </c>
      <c r="C100" s="18"/>
      <c r="D100" s="163">
        <f>SUM(D96:D99)</f>
        <v>0.1743527448079773</v>
      </c>
    </row>
    <row r="101" spans="1:4" x14ac:dyDescent="0.25">
      <c r="A101" s="155"/>
      <c r="B101" s="155"/>
      <c r="C101" s="155"/>
      <c r="D101" s="155"/>
    </row>
    <row r="102" spans="1:4" x14ac:dyDescent="0.25">
      <c r="A102" s="155"/>
      <c r="B102" s="155"/>
      <c r="C102" s="155"/>
      <c r="D102" s="155"/>
    </row>
    <row r="103" spans="1:4" x14ac:dyDescent="0.25">
      <c r="A103" s="327" t="s">
        <v>76</v>
      </c>
      <c r="B103" s="327"/>
      <c r="C103" s="327"/>
      <c r="D103" s="155"/>
    </row>
    <row r="104" spans="1:4" x14ac:dyDescent="0.25">
      <c r="A104" s="162"/>
      <c r="B104" s="155"/>
      <c r="C104" s="155"/>
      <c r="D104" s="155"/>
    </row>
    <row r="105" spans="1:4" x14ac:dyDescent="0.25">
      <c r="A105" s="156" t="s">
        <v>77</v>
      </c>
      <c r="B105" s="157" t="s">
        <v>78</v>
      </c>
      <c r="C105" s="158"/>
      <c r="D105" s="159" t="s">
        <v>6</v>
      </c>
    </row>
    <row r="106" spans="1:4" ht="30" x14ac:dyDescent="0.25">
      <c r="A106" s="160" t="s">
        <v>7</v>
      </c>
      <c r="B106" s="161" t="s">
        <v>79</v>
      </c>
      <c r="C106" s="158"/>
      <c r="D106" s="171"/>
    </row>
    <row r="107" spans="1:4" x14ac:dyDescent="0.25">
      <c r="A107" s="324" t="s">
        <v>20</v>
      </c>
      <c r="B107" s="325"/>
      <c r="C107" s="158"/>
      <c r="D107" s="13">
        <f>D106</f>
        <v>0</v>
      </c>
    </row>
    <row r="108" spans="1:4" x14ac:dyDescent="0.25">
      <c r="A108" s="155"/>
      <c r="B108" s="155"/>
      <c r="C108" s="155"/>
      <c r="D108" s="155"/>
    </row>
    <row r="109" spans="1:4" x14ac:dyDescent="0.25">
      <c r="A109" s="155"/>
      <c r="B109" s="155"/>
      <c r="C109" s="155"/>
      <c r="D109" s="155"/>
    </row>
    <row r="110" spans="1:4" x14ac:dyDescent="0.25">
      <c r="A110" s="327" t="s">
        <v>80</v>
      </c>
      <c r="B110" s="327"/>
      <c r="C110" s="327"/>
      <c r="D110" s="327"/>
    </row>
    <row r="111" spans="1:4" ht="16.5" thickBot="1" x14ac:dyDescent="0.3">
      <c r="A111" s="162"/>
      <c r="B111" s="155"/>
      <c r="C111" s="155"/>
      <c r="D111" s="155"/>
    </row>
    <row r="112" spans="1:4" ht="31.5" x14ac:dyDescent="0.25">
      <c r="A112" s="156">
        <v>4</v>
      </c>
      <c r="B112" s="157" t="s">
        <v>81</v>
      </c>
      <c r="C112" s="158"/>
      <c r="D112" s="159" t="s">
        <v>6</v>
      </c>
    </row>
    <row r="113" spans="1:4" x14ac:dyDescent="0.25">
      <c r="A113" s="160" t="s">
        <v>60</v>
      </c>
      <c r="B113" s="161" t="s">
        <v>82</v>
      </c>
      <c r="C113" s="158"/>
      <c r="D113" s="168">
        <f>D91</f>
        <v>89.189986699207154</v>
      </c>
    </row>
    <row r="114" spans="1:4" x14ac:dyDescent="0.25">
      <c r="A114" s="160" t="s">
        <v>70</v>
      </c>
      <c r="B114" s="161" t="s">
        <v>83</v>
      </c>
      <c r="C114" s="158"/>
      <c r="D114" s="168">
        <f>D100</f>
        <v>0.1743527448079773</v>
      </c>
    </row>
    <row r="115" spans="1:4" x14ac:dyDescent="0.25">
      <c r="A115" s="160" t="s">
        <v>77</v>
      </c>
      <c r="B115" s="161" t="s">
        <v>84</v>
      </c>
      <c r="C115" s="158"/>
      <c r="D115" s="168">
        <f>D107</f>
        <v>0</v>
      </c>
    </row>
    <row r="116" spans="1:4" x14ac:dyDescent="0.25">
      <c r="A116" s="324" t="s">
        <v>20</v>
      </c>
      <c r="B116" s="325"/>
      <c r="C116" s="158"/>
      <c r="D116" s="13">
        <f>SUM(D113:D115)</f>
        <v>89.36433944401513</v>
      </c>
    </row>
    <row r="117" spans="1:4" x14ac:dyDescent="0.25">
      <c r="A117" s="155"/>
      <c r="B117" s="155"/>
      <c r="C117" s="155"/>
      <c r="D117" s="155"/>
    </row>
    <row r="118" spans="1:4" x14ac:dyDescent="0.25">
      <c r="A118" s="155"/>
      <c r="B118" s="155"/>
      <c r="C118" s="155"/>
      <c r="D118" s="155"/>
    </row>
    <row r="119" spans="1:4" x14ac:dyDescent="0.25">
      <c r="A119" s="326" t="s">
        <v>85</v>
      </c>
      <c r="B119" s="326"/>
      <c r="C119" s="326"/>
      <c r="D119" s="155"/>
    </row>
    <row r="120" spans="1:4" x14ac:dyDescent="0.25">
      <c r="A120" s="155"/>
      <c r="B120" s="155"/>
      <c r="C120" s="155"/>
      <c r="D120" s="155"/>
    </row>
    <row r="121" spans="1:4" x14ac:dyDescent="0.25">
      <c r="A121" s="156">
        <v>5</v>
      </c>
      <c r="B121" s="177" t="s">
        <v>86</v>
      </c>
      <c r="C121" s="158"/>
      <c r="D121" s="159" t="s">
        <v>6</v>
      </c>
    </row>
    <row r="122" spans="1:4" x14ac:dyDescent="0.25">
      <c r="A122" s="160" t="s">
        <v>7</v>
      </c>
      <c r="B122" s="161" t="s">
        <v>87</v>
      </c>
      <c r="C122" s="158"/>
      <c r="D122" s="19">
        <f>UNIFORMES!F16</f>
        <v>48.666666666666664</v>
      </c>
    </row>
    <row r="123" spans="1:4" x14ac:dyDescent="0.25">
      <c r="A123" s="160" t="s">
        <v>9</v>
      </c>
      <c r="B123" s="161" t="s">
        <v>88</v>
      </c>
      <c r="C123" s="158"/>
      <c r="D123" s="19"/>
    </row>
    <row r="124" spans="1:4" x14ac:dyDescent="0.25">
      <c r="A124" s="160" t="s">
        <v>11</v>
      </c>
      <c r="B124" s="161" t="s">
        <v>19</v>
      </c>
      <c r="C124" s="158"/>
      <c r="D124" s="27">
        <v>0</v>
      </c>
    </row>
    <row r="125" spans="1:4" x14ac:dyDescent="0.25">
      <c r="A125" s="324" t="s">
        <v>40</v>
      </c>
      <c r="B125" s="325"/>
      <c r="C125" s="158"/>
      <c r="D125" s="13">
        <f>SUM(D122:D124)</f>
        <v>48.666666666666664</v>
      </c>
    </row>
    <row r="126" spans="1:4" x14ac:dyDescent="0.25">
      <c r="A126" s="155"/>
      <c r="B126" s="155"/>
      <c r="C126" s="155"/>
      <c r="D126" s="155"/>
    </row>
    <row r="127" spans="1:4" x14ac:dyDescent="0.25">
      <c r="A127" s="155"/>
      <c r="B127" s="155"/>
      <c r="C127" s="155"/>
      <c r="D127" s="155"/>
    </row>
    <row r="128" spans="1:4" x14ac:dyDescent="0.25">
      <c r="A128" s="326" t="s">
        <v>89</v>
      </c>
      <c r="B128" s="326"/>
      <c r="C128" s="326"/>
      <c r="D128" s="155"/>
    </row>
    <row r="129" spans="1:4" x14ac:dyDescent="0.25">
      <c r="A129" s="155"/>
      <c r="B129" s="155"/>
      <c r="C129" s="155"/>
      <c r="D129" s="155"/>
    </row>
    <row r="130" spans="1:4" ht="31.5" x14ac:dyDescent="0.25">
      <c r="A130" s="156">
        <v>6</v>
      </c>
      <c r="B130" s="178" t="s">
        <v>90</v>
      </c>
      <c r="C130" s="159" t="s">
        <v>30</v>
      </c>
      <c r="D130" s="159" t="s">
        <v>6</v>
      </c>
    </row>
    <row r="131" spans="1:4" x14ac:dyDescent="0.25">
      <c r="A131" s="160" t="s">
        <v>7</v>
      </c>
      <c r="B131" s="164" t="s">
        <v>91</v>
      </c>
      <c r="C131" s="31">
        <f>'CHEFE BRIG 12X36'!C131</f>
        <v>2.385265E-2</v>
      </c>
      <c r="D131" s="163">
        <f>(D17+D62+D76+D116+D125)*C131</f>
        <v>68.367001425637881</v>
      </c>
    </row>
    <row r="132" spans="1:4" x14ac:dyDescent="0.25">
      <c r="A132" s="160" t="s">
        <v>9</v>
      </c>
      <c r="B132" s="164" t="s">
        <v>92</v>
      </c>
      <c r="C132" s="31">
        <f>'CHEFE BRIG 12X36'!C132</f>
        <v>0.02</v>
      </c>
      <c r="D132" s="163">
        <f>(D17+D62+D76+D116+D125+D131)*C132</f>
        <v>58.691789450809964</v>
      </c>
    </row>
    <row r="133" spans="1:4" x14ac:dyDescent="0.25">
      <c r="A133" s="160" t="s">
        <v>11</v>
      </c>
      <c r="B133" s="164" t="s">
        <v>93</v>
      </c>
      <c r="C133" s="20">
        <f>1-(SUM(C134:C136))</f>
        <v>0.91349999999999998</v>
      </c>
      <c r="D133" s="179">
        <f>(D17+D62+D76+D116+D125+D131+D132)/C133</f>
        <v>3276.7173092406224</v>
      </c>
    </row>
    <row r="134" spans="1:4" x14ac:dyDescent="0.25">
      <c r="A134" s="160"/>
      <c r="B134" s="164" t="s">
        <v>94</v>
      </c>
      <c r="C134" s="31">
        <f>'CHEFE BRIG 12X36'!C134</f>
        <v>3.6499999999999998E-2</v>
      </c>
      <c r="D134" s="163">
        <f>D133*C134</f>
        <v>119.60018178728271</v>
      </c>
    </row>
    <row r="135" spans="1:4" x14ac:dyDescent="0.25">
      <c r="A135" s="160"/>
      <c r="B135" s="164" t="s">
        <v>95</v>
      </c>
      <c r="C135" s="31"/>
      <c r="D135" s="163">
        <f>D133*C135</f>
        <v>0</v>
      </c>
    </row>
    <row r="136" spans="1:4" x14ac:dyDescent="0.25">
      <c r="A136" s="160"/>
      <c r="B136" s="164" t="s">
        <v>96</v>
      </c>
      <c r="C136" s="31">
        <f>'CHEFE BRIG 12X36'!C136</f>
        <v>0.05</v>
      </c>
      <c r="D136" s="163">
        <f>D133*C136</f>
        <v>163.83586546203114</v>
      </c>
    </row>
    <row r="137" spans="1:4" x14ac:dyDescent="0.25">
      <c r="A137" s="324" t="s">
        <v>40</v>
      </c>
      <c r="B137" s="331"/>
      <c r="C137" s="171"/>
      <c r="D137" s="163">
        <f>D131+D132+D134+D135+D136</f>
        <v>410.4948381257617</v>
      </c>
    </row>
    <row r="138" spans="1:4" x14ac:dyDescent="0.25">
      <c r="A138" s="155"/>
      <c r="B138" s="155"/>
      <c r="C138" s="155"/>
      <c r="D138" s="155"/>
    </row>
    <row r="139" spans="1:4" x14ac:dyDescent="0.25">
      <c r="A139" s="155"/>
      <c r="B139" s="155"/>
      <c r="C139" s="155"/>
      <c r="D139" s="155"/>
    </row>
    <row r="140" spans="1:4" x14ac:dyDescent="0.25">
      <c r="A140" s="326" t="s">
        <v>97</v>
      </c>
      <c r="B140" s="326"/>
      <c r="C140" s="326"/>
      <c r="D140" s="155"/>
    </row>
    <row r="141" spans="1:4" x14ac:dyDescent="0.25">
      <c r="A141" s="155"/>
      <c r="B141" s="155"/>
      <c r="C141" s="155"/>
      <c r="D141" s="155"/>
    </row>
    <row r="142" spans="1:4" ht="33.75" customHeight="1" x14ac:dyDescent="0.25">
      <c r="A142" s="156"/>
      <c r="B142" s="180" t="s">
        <v>98</v>
      </c>
      <c r="C142" s="158"/>
      <c r="D142" s="159" t="s">
        <v>6</v>
      </c>
    </row>
    <row r="143" spans="1:4" x14ac:dyDescent="0.25">
      <c r="A143" s="181" t="s">
        <v>7</v>
      </c>
      <c r="B143" s="161" t="s">
        <v>4</v>
      </c>
      <c r="C143" s="158"/>
      <c r="D143" s="182">
        <f>D17</f>
        <v>1402.5829172727274</v>
      </c>
    </row>
    <row r="144" spans="1:4" ht="30" x14ac:dyDescent="0.25">
      <c r="A144" s="181" t="s">
        <v>9</v>
      </c>
      <c r="B144" s="161" t="s">
        <v>21</v>
      </c>
      <c r="C144" s="158"/>
      <c r="D144" s="183">
        <f>D62</f>
        <v>1271.9334589497728</v>
      </c>
    </row>
    <row r="145" spans="1:4" x14ac:dyDescent="0.25">
      <c r="A145" s="181" t="s">
        <v>11</v>
      </c>
      <c r="B145" s="161" t="s">
        <v>48</v>
      </c>
      <c r="C145" s="158"/>
      <c r="D145" s="183">
        <f>D76</f>
        <v>53.675088781678838</v>
      </c>
    </row>
    <row r="146" spans="1:4" ht="30" x14ac:dyDescent="0.25">
      <c r="A146" s="181" t="s">
        <v>13</v>
      </c>
      <c r="B146" s="161" t="s">
        <v>58</v>
      </c>
      <c r="C146" s="158"/>
      <c r="D146" s="182">
        <f>D116</f>
        <v>89.36433944401513</v>
      </c>
    </row>
    <row r="147" spans="1:4" x14ac:dyDescent="0.25">
      <c r="A147" s="181" t="s">
        <v>15</v>
      </c>
      <c r="B147" s="161" t="s">
        <v>85</v>
      </c>
      <c r="C147" s="158"/>
      <c r="D147" s="182">
        <f>D125</f>
        <v>48.666666666666664</v>
      </c>
    </row>
    <row r="148" spans="1:4" ht="16.5" customHeight="1" x14ac:dyDescent="0.25">
      <c r="A148" s="324" t="s">
        <v>99</v>
      </c>
      <c r="B148" s="325"/>
      <c r="C148" s="158"/>
      <c r="D148" s="182">
        <f>SUM(D143:D147)</f>
        <v>2866.2224711148606</v>
      </c>
    </row>
    <row r="149" spans="1:4" x14ac:dyDescent="0.25">
      <c r="A149" s="181" t="s">
        <v>17</v>
      </c>
      <c r="B149" s="161" t="s">
        <v>100</v>
      </c>
      <c r="C149" s="158"/>
      <c r="D149" s="183">
        <f>D137</f>
        <v>410.4948381257617</v>
      </c>
    </row>
    <row r="150" spans="1:4" ht="16.5" customHeight="1" x14ac:dyDescent="0.25">
      <c r="A150" s="321" t="s">
        <v>103</v>
      </c>
      <c r="B150" s="322"/>
      <c r="C150" s="323"/>
      <c r="D150" s="184">
        <f>SUM(D148:D149)</f>
        <v>3276.7173092406224</v>
      </c>
    </row>
    <row r="152" spans="1:4" x14ac:dyDescent="0.25">
      <c r="A152" s="348"/>
      <c r="B152" s="348"/>
      <c r="C152" s="348"/>
      <c r="D152" s="348"/>
    </row>
  </sheetData>
  <sheetProtection algorithmName="SHA-512" hashValue="X1b64xEpW2NsTKxY3zsQffeVcCiqRypnFQ6nfwbd+W8i2jlX39bEfFRCFP1RSWUIiaIaQaNE9cMw7bjDtOg5wA==" saltValue="nsqfu7gPtxGLtWsF8Jr0VA==" spinCount="100000" sheet="1" objects="1" scenarios="1"/>
  <mergeCells count="42">
    <mergeCell ref="E50:L50"/>
    <mergeCell ref="E51:L51"/>
    <mergeCell ref="E11:L11"/>
    <mergeCell ref="E12:L12"/>
    <mergeCell ref="E47:L47"/>
    <mergeCell ref="E48:L48"/>
    <mergeCell ref="E49:L49"/>
    <mergeCell ref="A2:D3"/>
    <mergeCell ref="A110:D110"/>
    <mergeCell ref="A7:D7"/>
    <mergeCell ref="A4:B4"/>
    <mergeCell ref="C4:D4"/>
    <mergeCell ref="A5:D5"/>
    <mergeCell ref="A6:D6"/>
    <mergeCell ref="A65:C65"/>
    <mergeCell ref="A8:D8"/>
    <mergeCell ref="A17:B17"/>
    <mergeCell ref="A20:D20"/>
    <mergeCell ref="A22:D22"/>
    <mergeCell ref="A27:B27"/>
    <mergeCell ref="A30:D30"/>
    <mergeCell ref="A41:B41"/>
    <mergeCell ref="A44:C44"/>
    <mergeCell ref="A53:B53"/>
    <mergeCell ref="A62:B62"/>
    <mergeCell ref="A56:D56"/>
    <mergeCell ref="A128:C128"/>
    <mergeCell ref="A76:B76"/>
    <mergeCell ref="A79:C79"/>
    <mergeCell ref="A82:C82"/>
    <mergeCell ref="A91:B91"/>
    <mergeCell ref="A93:C93"/>
    <mergeCell ref="A103:C103"/>
    <mergeCell ref="A107:B107"/>
    <mergeCell ref="A116:B116"/>
    <mergeCell ref="A119:C119"/>
    <mergeCell ref="A125:B125"/>
    <mergeCell ref="A137:B137"/>
    <mergeCell ref="A140:C140"/>
    <mergeCell ref="A148:B148"/>
    <mergeCell ref="A150:C150"/>
    <mergeCell ref="A152:D152"/>
  </mergeCells>
  <pageMargins left="0.7" right="0.7" top="0.75" bottom="0.75" header="0.3" footer="0.3"/>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E152"/>
  <sheetViews>
    <sheetView showGridLines="0" topLeftCell="A43" workbookViewId="0">
      <selection activeCell="D51" sqref="D51"/>
    </sheetView>
  </sheetViews>
  <sheetFormatPr defaultColWidth="9.140625" defaultRowHeight="15.75" x14ac:dyDescent="0.25"/>
  <cols>
    <col min="1" max="1" width="9.140625" style="21"/>
    <col min="2" max="2" width="70" style="21" customWidth="1"/>
    <col min="3" max="3" width="21" style="21" customWidth="1"/>
    <col min="4" max="4" width="24.85546875" style="21" customWidth="1"/>
    <col min="5" max="5" width="15.140625" style="21" customWidth="1"/>
    <col min="6" max="16384" width="9.140625" style="21"/>
  </cols>
  <sheetData>
    <row r="1" spans="1:4" x14ac:dyDescent="0.25">
      <c r="A1" s="185"/>
      <c r="B1" s="185"/>
      <c r="C1" s="185"/>
      <c r="D1" s="185"/>
    </row>
    <row r="2" spans="1:4" x14ac:dyDescent="0.25">
      <c r="A2" s="153" t="s">
        <v>1</v>
      </c>
      <c r="B2" s="153"/>
      <c r="C2" s="153"/>
      <c r="D2" s="153"/>
    </row>
    <row r="3" spans="1:4" ht="16.5" thickBot="1" x14ac:dyDescent="0.3">
      <c r="A3" s="154"/>
      <c r="B3" s="154"/>
      <c r="C3" s="154"/>
      <c r="D3" s="154"/>
    </row>
    <row r="4" spans="1:4" ht="16.5" thickBot="1" x14ac:dyDescent="0.3">
      <c r="A4" s="334" t="s">
        <v>2</v>
      </c>
      <c r="B4" s="353"/>
      <c r="C4" s="354" t="s">
        <v>104</v>
      </c>
      <c r="D4" s="355"/>
    </row>
    <row r="5" spans="1:4" ht="16.5" thickBot="1" x14ac:dyDescent="0.3">
      <c r="A5" s="332" t="s">
        <v>395</v>
      </c>
      <c r="B5" s="332"/>
      <c r="C5" s="332"/>
      <c r="D5" s="332"/>
    </row>
    <row r="6" spans="1:4" ht="16.5" thickBot="1" x14ac:dyDescent="0.3">
      <c r="A6" s="332" t="s">
        <v>396</v>
      </c>
      <c r="B6" s="332"/>
      <c r="C6" s="332"/>
      <c r="D6" s="332"/>
    </row>
    <row r="7" spans="1:4" ht="16.5" thickBot="1" x14ac:dyDescent="0.3">
      <c r="A7" s="338" t="s">
        <v>394</v>
      </c>
      <c r="B7" s="338"/>
      <c r="C7" s="338"/>
      <c r="D7" s="338"/>
    </row>
    <row r="8" spans="1:4" x14ac:dyDescent="0.25">
      <c r="A8" s="339" t="s">
        <v>4</v>
      </c>
      <c r="B8" s="339"/>
      <c r="C8" s="339"/>
      <c r="D8" s="339"/>
    </row>
    <row r="9" spans="1:4" ht="16.5" thickBot="1" x14ac:dyDescent="0.3">
      <c r="A9" s="155"/>
      <c r="B9" s="155"/>
      <c r="C9" s="155"/>
      <c r="D9" s="155"/>
    </row>
    <row r="10" spans="1:4" ht="16.5" thickBot="1" x14ac:dyDescent="0.3">
      <c r="A10" s="156">
        <v>1</v>
      </c>
      <c r="B10" s="157" t="s">
        <v>5</v>
      </c>
      <c r="C10" s="158"/>
      <c r="D10" s="159" t="s">
        <v>6</v>
      </c>
    </row>
    <row r="11" spans="1:4" x14ac:dyDescent="0.25">
      <c r="A11" s="160" t="s">
        <v>7</v>
      </c>
      <c r="B11" s="161" t="s">
        <v>8</v>
      </c>
      <c r="C11" s="158"/>
      <c r="D11" s="22">
        <v>3669.27</v>
      </c>
    </row>
    <row r="12" spans="1:4" ht="16.5" thickBot="1" x14ac:dyDescent="0.3">
      <c r="A12" s="160" t="s">
        <v>9</v>
      </c>
      <c r="B12" s="161" t="s">
        <v>10</v>
      </c>
      <c r="C12" s="23">
        <v>0.3</v>
      </c>
      <c r="D12" s="10">
        <f>D11*C12</f>
        <v>1100.7809999999999</v>
      </c>
    </row>
    <row r="13" spans="1:4" x14ac:dyDescent="0.25">
      <c r="A13" s="160" t="s">
        <v>11</v>
      </c>
      <c r="B13" s="161" t="s">
        <v>12</v>
      </c>
      <c r="C13" s="158"/>
      <c r="D13" s="10">
        <v>0</v>
      </c>
    </row>
    <row r="14" spans="1:4" ht="16.5" thickBot="1" x14ac:dyDescent="0.3">
      <c r="A14" s="160" t="s">
        <v>13</v>
      </c>
      <c r="B14" s="161" t="s">
        <v>14</v>
      </c>
      <c r="C14" s="158"/>
      <c r="D14" s="10">
        <f>((D11+D12)/220*0.2)*C14</f>
        <v>0</v>
      </c>
    </row>
    <row r="15" spans="1:4" ht="16.5" thickBot="1" x14ac:dyDescent="0.3">
      <c r="A15" s="160" t="s">
        <v>15</v>
      </c>
      <c r="B15" s="161" t="s">
        <v>16</v>
      </c>
      <c r="C15" s="158"/>
      <c r="D15" s="10">
        <f>PRODUCT(((C14/52.5)*60)-C14)*(((D11+D12)/220*1.2))</f>
        <v>0</v>
      </c>
    </row>
    <row r="16" spans="1:4" ht="16.5" thickBot="1" x14ac:dyDescent="0.3">
      <c r="A16" s="160" t="s">
        <v>17</v>
      </c>
      <c r="B16" s="161" t="s">
        <v>19</v>
      </c>
      <c r="C16" s="158"/>
      <c r="D16" s="22"/>
    </row>
    <row r="17" spans="1:4" ht="16.5" thickBot="1" x14ac:dyDescent="0.3">
      <c r="A17" s="324" t="s">
        <v>20</v>
      </c>
      <c r="B17" s="325"/>
      <c r="C17" s="158"/>
      <c r="D17" s="11">
        <f>SUM(D11:D15)+D16</f>
        <v>4770.0509999999995</v>
      </c>
    </row>
    <row r="18" spans="1:4" x14ac:dyDescent="0.25">
      <c r="A18" s="155"/>
      <c r="B18" s="155"/>
      <c r="C18" s="155"/>
      <c r="D18" s="155"/>
    </row>
    <row r="19" spans="1:4" x14ac:dyDescent="0.25">
      <c r="A19" s="155"/>
      <c r="B19" s="155"/>
      <c r="C19" s="155"/>
      <c r="D19" s="155"/>
    </row>
    <row r="20" spans="1:4" x14ac:dyDescent="0.25">
      <c r="A20" s="326" t="s">
        <v>21</v>
      </c>
      <c r="B20" s="326"/>
      <c r="C20" s="326"/>
      <c r="D20" s="326"/>
    </row>
    <row r="21" spans="1:4" x14ac:dyDescent="0.25">
      <c r="A21" s="162"/>
      <c r="B21" s="155"/>
      <c r="C21" s="155"/>
      <c r="D21" s="155"/>
    </row>
    <row r="22" spans="1:4" x14ac:dyDescent="0.25">
      <c r="A22" s="327" t="s">
        <v>22</v>
      </c>
      <c r="B22" s="327"/>
      <c r="C22" s="327"/>
      <c r="D22" s="327"/>
    </row>
    <row r="23" spans="1:4" ht="16.5" thickBot="1" x14ac:dyDescent="0.3">
      <c r="A23" s="155"/>
      <c r="B23" s="155"/>
      <c r="C23" s="155"/>
      <c r="D23" s="155"/>
    </row>
    <row r="24" spans="1:4" ht="16.5" thickBot="1" x14ac:dyDescent="0.3">
      <c r="A24" s="156" t="s">
        <v>23</v>
      </c>
      <c r="B24" s="157" t="s">
        <v>24</v>
      </c>
      <c r="C24" s="158"/>
      <c r="D24" s="159" t="s">
        <v>6</v>
      </c>
    </row>
    <row r="25" spans="1:4" ht="16.5" thickBot="1" x14ac:dyDescent="0.3">
      <c r="A25" s="160" t="s">
        <v>7</v>
      </c>
      <c r="B25" s="161" t="s">
        <v>25</v>
      </c>
      <c r="C25" s="158"/>
      <c r="D25" s="163">
        <f>D17/12</f>
        <v>397.50424999999996</v>
      </c>
    </row>
    <row r="26" spans="1:4" ht="16.5" thickBot="1" x14ac:dyDescent="0.3">
      <c r="A26" s="160" t="s">
        <v>9</v>
      </c>
      <c r="B26" s="161" t="s">
        <v>26</v>
      </c>
      <c r="C26" s="158"/>
      <c r="D26" s="163">
        <f>(D17/12)+(D17*1/3/12)</f>
        <v>530.00566666666657</v>
      </c>
    </row>
    <row r="27" spans="1:4" ht="16.5" thickBot="1" x14ac:dyDescent="0.3">
      <c r="A27" s="324" t="s">
        <v>20</v>
      </c>
      <c r="B27" s="325"/>
      <c r="C27" s="158"/>
      <c r="D27" s="163">
        <f>SUM(D25:D26)</f>
        <v>927.50991666666653</v>
      </c>
    </row>
    <row r="28" spans="1:4" x14ac:dyDescent="0.25">
      <c r="A28" s="155"/>
      <c r="B28" s="155"/>
      <c r="C28" s="155"/>
      <c r="D28" s="155"/>
    </row>
    <row r="29" spans="1:4" x14ac:dyDescent="0.25">
      <c r="A29" s="155"/>
      <c r="B29" s="155"/>
      <c r="C29" s="155"/>
      <c r="D29" s="155"/>
    </row>
    <row r="30" spans="1:4" ht="32.25" customHeight="1" x14ac:dyDescent="0.25">
      <c r="A30" s="330" t="s">
        <v>27</v>
      </c>
      <c r="B30" s="330"/>
      <c r="C30" s="330"/>
      <c r="D30" s="330"/>
    </row>
    <row r="31" spans="1:4" ht="16.5" thickBot="1" x14ac:dyDescent="0.3">
      <c r="A31" s="155"/>
      <c r="B31" s="155"/>
      <c r="C31" s="155"/>
      <c r="D31" s="155"/>
    </row>
    <row r="32" spans="1:4" ht="16.5" thickBot="1" x14ac:dyDescent="0.3">
      <c r="A32" s="156" t="s">
        <v>28</v>
      </c>
      <c r="B32" s="159" t="s">
        <v>29</v>
      </c>
      <c r="C32" s="159" t="s">
        <v>30</v>
      </c>
      <c r="D32" s="159" t="s">
        <v>6</v>
      </c>
    </row>
    <row r="33" spans="1:5" ht="16.5" thickBot="1" x14ac:dyDescent="0.3">
      <c r="A33" s="160" t="s">
        <v>7</v>
      </c>
      <c r="B33" s="164" t="s">
        <v>31</v>
      </c>
      <c r="C33" s="24">
        <f>'CHEFE BRIG FOLGUISTA'!C33</f>
        <v>0.2</v>
      </c>
      <c r="D33" s="163">
        <f>($D$17*C33)+($D$27*C33)</f>
        <v>1139.5121833333333</v>
      </c>
    </row>
    <row r="34" spans="1:5" ht="16.5" thickBot="1" x14ac:dyDescent="0.3">
      <c r="A34" s="160" t="s">
        <v>9</v>
      </c>
      <c r="B34" s="164" t="s">
        <v>32</v>
      </c>
      <c r="C34" s="24">
        <f>'CHEFE BRIG FOLGUISTA'!C34</f>
        <v>2.5000000000000001E-2</v>
      </c>
      <c r="D34" s="163">
        <f>($D$17*C34)+($D$27*C34)</f>
        <v>142.43902291666666</v>
      </c>
    </row>
    <row r="35" spans="1:5" ht="16.5" thickBot="1" x14ac:dyDescent="0.3">
      <c r="A35" s="160" t="s">
        <v>11</v>
      </c>
      <c r="B35" s="164" t="s">
        <v>33</v>
      </c>
      <c r="C35" s="24">
        <f>'CHEFE BRIG FOLGUISTA'!C35</f>
        <v>1.4999999999999999E-2</v>
      </c>
      <c r="D35" s="163">
        <f t="shared" ref="D35:D40" si="0">($D$17*C35)+($D$27*C35)</f>
        <v>85.463413749999987</v>
      </c>
    </row>
    <row r="36" spans="1:5" ht="16.5" thickBot="1" x14ac:dyDescent="0.3">
      <c r="A36" s="160" t="s">
        <v>13</v>
      </c>
      <c r="B36" s="164" t="s">
        <v>34</v>
      </c>
      <c r="C36" s="24">
        <f>'CHEFE BRIG FOLGUISTA'!C36</f>
        <v>1.4999999999999999E-2</v>
      </c>
      <c r="D36" s="163">
        <f t="shared" si="0"/>
        <v>85.463413749999987</v>
      </c>
    </row>
    <row r="37" spans="1:5" ht="16.5" thickBot="1" x14ac:dyDescent="0.3">
      <c r="A37" s="160" t="s">
        <v>15</v>
      </c>
      <c r="B37" s="164" t="s">
        <v>35</v>
      </c>
      <c r="C37" s="24">
        <f>'CHEFE BRIG FOLGUISTA'!C37</f>
        <v>0.01</v>
      </c>
      <c r="D37" s="163">
        <f t="shared" si="0"/>
        <v>56.975609166666658</v>
      </c>
    </row>
    <row r="38" spans="1:5" ht="16.5" thickBot="1" x14ac:dyDescent="0.3">
      <c r="A38" s="160" t="s">
        <v>17</v>
      </c>
      <c r="B38" s="164" t="s">
        <v>36</v>
      </c>
      <c r="C38" s="24">
        <f>'CHEFE BRIG FOLGUISTA'!C38</f>
        <v>6.0000000000000001E-3</v>
      </c>
      <c r="D38" s="163">
        <f t="shared" si="0"/>
        <v>34.185365499999996</v>
      </c>
    </row>
    <row r="39" spans="1:5" ht="16.5" thickBot="1" x14ac:dyDescent="0.3">
      <c r="A39" s="160" t="s">
        <v>18</v>
      </c>
      <c r="B39" s="164" t="s">
        <v>37</v>
      </c>
      <c r="C39" s="24">
        <f>'CHEFE BRIG FOLGUISTA'!C39</f>
        <v>2E-3</v>
      </c>
      <c r="D39" s="163">
        <f t="shared" si="0"/>
        <v>11.395121833333333</v>
      </c>
    </row>
    <row r="40" spans="1:5" ht="16.5" thickBot="1" x14ac:dyDescent="0.3">
      <c r="A40" s="160" t="s">
        <v>38</v>
      </c>
      <c r="B40" s="164" t="s">
        <v>39</v>
      </c>
      <c r="C40" s="24">
        <f>'CHEFE BRIG FOLGUISTA'!C40</f>
        <v>0.08</v>
      </c>
      <c r="D40" s="163">
        <f t="shared" si="0"/>
        <v>455.80487333333326</v>
      </c>
    </row>
    <row r="41" spans="1:5" ht="16.5" thickBot="1" x14ac:dyDescent="0.3">
      <c r="A41" s="324" t="s">
        <v>40</v>
      </c>
      <c r="B41" s="331"/>
      <c r="C41" s="165">
        <f>SUM(C33:C40)</f>
        <v>0.35300000000000004</v>
      </c>
      <c r="D41" s="163">
        <f>SUM(D33:D40)</f>
        <v>2011.239003583333</v>
      </c>
    </row>
    <row r="42" spans="1:5" x14ac:dyDescent="0.25">
      <c r="A42" s="155"/>
      <c r="B42" s="155"/>
      <c r="C42" s="155"/>
      <c r="D42" s="155"/>
    </row>
    <row r="43" spans="1:5" x14ac:dyDescent="0.25">
      <c r="A43" s="155"/>
      <c r="B43" s="155"/>
      <c r="C43" s="155"/>
      <c r="D43" s="155"/>
    </row>
    <row r="44" spans="1:5" x14ac:dyDescent="0.25">
      <c r="A44" s="327" t="s">
        <v>41</v>
      </c>
      <c r="B44" s="327"/>
      <c r="C44" s="327"/>
      <c r="D44" s="155"/>
    </row>
    <row r="45" spans="1:5" ht="16.5" thickBot="1" x14ac:dyDescent="0.3">
      <c r="A45" s="155"/>
      <c r="B45" s="155"/>
      <c r="C45" s="155"/>
      <c r="D45" s="155"/>
    </row>
    <row r="46" spans="1:5" ht="16.5" thickBot="1" x14ac:dyDescent="0.3">
      <c r="A46" s="156" t="s">
        <v>42</v>
      </c>
      <c r="B46" s="157" t="s">
        <v>43</v>
      </c>
      <c r="C46" s="166" t="s">
        <v>328</v>
      </c>
      <c r="D46" s="186" t="s">
        <v>6</v>
      </c>
    </row>
    <row r="47" spans="1:5" ht="37.9" customHeight="1" thickBot="1" x14ac:dyDescent="0.3">
      <c r="A47" s="160" t="s">
        <v>7</v>
      </c>
      <c r="B47" s="161" t="s">
        <v>44</v>
      </c>
      <c r="C47" s="34">
        <f>'CHEFE BRIG FOLGUISTA'!C47</f>
        <v>5.5</v>
      </c>
      <c r="D47" s="37">
        <f>IF((C47*2*13.05-6%*D11)&gt;0,(C47*2*13.05-6%*D11),0)</f>
        <v>0</v>
      </c>
      <c r="E47" s="35"/>
    </row>
    <row r="48" spans="1:5" ht="41.45" customHeight="1" thickBot="1" x14ac:dyDescent="0.3">
      <c r="A48" s="160" t="s">
        <v>9</v>
      </c>
      <c r="B48" s="161" t="s">
        <v>45</v>
      </c>
      <c r="C48" s="26">
        <f>'CHEFE BRIG FOLGUISTA'!C48</f>
        <v>45.23</v>
      </c>
      <c r="D48" s="12">
        <f>IF((C48-0.3)*13.05 &lt; 0, "", (C48-0.3)*13.05)</f>
        <v>586.3365</v>
      </c>
    </row>
    <row r="49" spans="1:4" ht="16.5" thickBot="1" x14ac:dyDescent="0.3">
      <c r="A49" s="160" t="s">
        <v>11</v>
      </c>
      <c r="B49" s="161" t="s">
        <v>327</v>
      </c>
      <c r="C49" s="158"/>
      <c r="D49" s="27">
        <f>'CHEFE BRIG FOLGUISTA'!D49</f>
        <v>184.55</v>
      </c>
    </row>
    <row r="50" spans="1:4" ht="16.5" thickBot="1" x14ac:dyDescent="0.3">
      <c r="A50" s="160" t="s">
        <v>13</v>
      </c>
      <c r="B50" s="161" t="s">
        <v>326</v>
      </c>
      <c r="C50" s="158"/>
      <c r="D50" s="27">
        <f>'CHEFE BRIG FOLGUISTA'!D50</f>
        <v>12.81</v>
      </c>
    </row>
    <row r="51" spans="1:4" ht="16.5" thickBot="1" x14ac:dyDescent="0.3">
      <c r="A51" s="160" t="s">
        <v>15</v>
      </c>
      <c r="B51" s="161" t="s">
        <v>325</v>
      </c>
      <c r="C51" s="158"/>
      <c r="D51" s="27"/>
    </row>
    <row r="52" spans="1:4" ht="16.5" thickBot="1" x14ac:dyDescent="0.3">
      <c r="A52" s="160" t="s">
        <v>17</v>
      </c>
      <c r="B52" s="161" t="s">
        <v>19</v>
      </c>
      <c r="C52" s="158"/>
      <c r="D52" s="27">
        <f>'CHEFE BRIG FOLGUISTA'!D52</f>
        <v>15.02</v>
      </c>
    </row>
    <row r="53" spans="1:4" ht="16.5" thickBot="1" x14ac:dyDescent="0.3">
      <c r="A53" s="324" t="s">
        <v>20</v>
      </c>
      <c r="B53" s="325"/>
      <c r="C53" s="158"/>
      <c r="D53" s="13">
        <f>SUM(D47:D52)</f>
        <v>798.7165</v>
      </c>
    </row>
    <row r="54" spans="1:4" x14ac:dyDescent="0.25">
      <c r="A54" s="155"/>
      <c r="B54" s="155"/>
      <c r="C54" s="155"/>
      <c r="D54" s="155"/>
    </row>
    <row r="55" spans="1:4" x14ac:dyDescent="0.25">
      <c r="A55" s="155"/>
      <c r="B55" s="155"/>
      <c r="C55" s="155"/>
      <c r="D55" s="155"/>
    </row>
    <row r="56" spans="1:4" x14ac:dyDescent="0.25">
      <c r="A56" s="327" t="s">
        <v>46</v>
      </c>
      <c r="B56" s="327"/>
      <c r="C56" s="327"/>
      <c r="D56" s="155"/>
    </row>
    <row r="57" spans="1:4" ht="16.5" thickBot="1" x14ac:dyDescent="0.3">
      <c r="A57" s="155"/>
      <c r="B57" s="155"/>
      <c r="C57" s="155"/>
      <c r="D57" s="155"/>
    </row>
    <row r="58" spans="1:4" ht="16.5" thickBot="1" x14ac:dyDescent="0.3">
      <c r="A58" s="156">
        <v>2</v>
      </c>
      <c r="B58" s="157" t="s">
        <v>47</v>
      </c>
      <c r="C58" s="158"/>
      <c r="D58" s="159" t="s">
        <v>6</v>
      </c>
    </row>
    <row r="59" spans="1:4" ht="16.5" thickBot="1" x14ac:dyDescent="0.3">
      <c r="A59" s="160" t="s">
        <v>23</v>
      </c>
      <c r="B59" s="161" t="s">
        <v>24</v>
      </c>
      <c r="C59" s="158"/>
      <c r="D59" s="163">
        <f>D27</f>
        <v>927.50991666666653</v>
      </c>
    </row>
    <row r="60" spans="1:4" ht="16.5" thickBot="1" x14ac:dyDescent="0.3">
      <c r="A60" s="160" t="s">
        <v>28</v>
      </c>
      <c r="B60" s="161" t="s">
        <v>29</v>
      </c>
      <c r="C60" s="158"/>
      <c r="D60" s="163">
        <f>D41</f>
        <v>2011.239003583333</v>
      </c>
    </row>
    <row r="61" spans="1:4" ht="16.5" thickBot="1" x14ac:dyDescent="0.3">
      <c r="A61" s="160" t="s">
        <v>42</v>
      </c>
      <c r="B61" s="161" t="s">
        <v>43</v>
      </c>
      <c r="C61" s="158"/>
      <c r="D61" s="168">
        <f>D53</f>
        <v>798.7165</v>
      </c>
    </row>
    <row r="62" spans="1:4" ht="16.5" thickBot="1" x14ac:dyDescent="0.3">
      <c r="A62" s="324" t="s">
        <v>20</v>
      </c>
      <c r="B62" s="325"/>
      <c r="C62" s="158"/>
      <c r="D62" s="163">
        <f>SUM(D59:D61)</f>
        <v>3737.4654202499996</v>
      </c>
    </row>
    <row r="63" spans="1:4" x14ac:dyDescent="0.25">
      <c r="A63" s="169"/>
      <c r="B63" s="155"/>
      <c r="C63" s="155"/>
      <c r="D63" s="155"/>
    </row>
    <row r="64" spans="1:4" x14ac:dyDescent="0.25">
      <c r="A64" s="155"/>
      <c r="B64" s="155"/>
      <c r="C64" s="155"/>
      <c r="D64" s="155"/>
    </row>
    <row r="65" spans="1:4" x14ac:dyDescent="0.25">
      <c r="A65" s="326" t="s">
        <v>48</v>
      </c>
      <c r="B65" s="326"/>
      <c r="C65" s="326"/>
      <c r="D65" s="155"/>
    </row>
    <row r="66" spans="1:4" ht="16.5" thickBot="1" x14ac:dyDescent="0.3">
      <c r="A66" s="155"/>
      <c r="B66" s="155"/>
      <c r="C66" s="155"/>
      <c r="D66" s="155"/>
    </row>
    <row r="67" spans="1:4" ht="16.5" thickBot="1" x14ac:dyDescent="0.3">
      <c r="A67" s="156">
        <v>3</v>
      </c>
      <c r="B67" s="157" t="s">
        <v>49</v>
      </c>
      <c r="C67" s="158" t="s">
        <v>50</v>
      </c>
      <c r="D67" s="159" t="s">
        <v>6</v>
      </c>
    </row>
    <row r="68" spans="1:4" ht="16.5" thickBot="1" x14ac:dyDescent="0.3">
      <c r="A68" s="160" t="s">
        <v>7</v>
      </c>
      <c r="B68" s="170" t="s">
        <v>51</v>
      </c>
      <c r="C68" s="28">
        <f>'CHEFE BRIG FOLGUISTA'!C68</f>
        <v>4.0000000000000002E-4</v>
      </c>
      <c r="D68" s="163">
        <f>(D17/12)*C68</f>
        <v>0.1590017</v>
      </c>
    </row>
    <row r="69" spans="1:4" ht="16.5" thickBot="1" x14ac:dyDescent="0.3">
      <c r="A69" s="160" t="s">
        <v>9</v>
      </c>
      <c r="B69" s="170" t="s">
        <v>52</v>
      </c>
      <c r="C69" s="158"/>
      <c r="D69" s="163">
        <f>(D68*C40)</f>
        <v>1.2720136E-2</v>
      </c>
    </row>
    <row r="70" spans="1:4" ht="30.75" thickBot="1" x14ac:dyDescent="0.3">
      <c r="A70" s="160" t="s">
        <v>11</v>
      </c>
      <c r="B70" s="170" t="s">
        <v>53</v>
      </c>
      <c r="C70" s="158"/>
      <c r="D70" s="171"/>
    </row>
    <row r="71" spans="1:4" ht="16.5" thickBot="1" x14ac:dyDescent="0.3">
      <c r="A71" s="160" t="s">
        <v>13</v>
      </c>
      <c r="B71" s="170" t="s">
        <v>54</v>
      </c>
      <c r="C71" s="29">
        <f>'CHEFE BRIG FOLGUISTA'!C71</f>
        <v>4.0000000000000002E-4</v>
      </c>
      <c r="D71" s="163">
        <f>(((D17/30)/12)*7)*C71</f>
        <v>3.710039666666666E-2</v>
      </c>
    </row>
    <row r="72" spans="1:4" ht="30.75" thickBot="1" x14ac:dyDescent="0.3">
      <c r="A72" s="160" t="s">
        <v>15</v>
      </c>
      <c r="B72" s="170" t="s">
        <v>55</v>
      </c>
      <c r="C72" s="172"/>
      <c r="D72" s="173">
        <f>(D71*C41)</f>
        <v>1.3096440023333333E-2</v>
      </c>
    </row>
    <row r="73" spans="1:4" ht="30.75" thickBot="1" x14ac:dyDescent="0.3">
      <c r="A73" s="160" t="s">
        <v>17</v>
      </c>
      <c r="B73" s="170" t="s">
        <v>56</v>
      </c>
      <c r="C73" s="158"/>
      <c r="D73" s="174">
        <f>SUM(D74:D75)</f>
        <v>182.32194933333332</v>
      </c>
    </row>
    <row r="74" spans="1:4" ht="16.5" thickBot="1" x14ac:dyDescent="0.3">
      <c r="A74" s="175"/>
      <c r="B74" s="170" t="s">
        <v>39</v>
      </c>
      <c r="C74" s="14">
        <v>0.4</v>
      </c>
      <c r="D74" s="163">
        <f>((((D17+D25+D26)*C74))*C40)</f>
        <v>182.32194933333332</v>
      </c>
    </row>
    <row r="75" spans="1:4" ht="16.5" thickBot="1" x14ac:dyDescent="0.3">
      <c r="A75" s="175"/>
      <c r="B75" s="170" t="s">
        <v>57</v>
      </c>
      <c r="C75" s="15">
        <v>0</v>
      </c>
      <c r="D75" s="163">
        <f>((((D17+D25+D26)*C75))*C40)</f>
        <v>0</v>
      </c>
    </row>
    <row r="76" spans="1:4" ht="16.5" thickBot="1" x14ac:dyDescent="0.3">
      <c r="A76" s="324" t="s">
        <v>20</v>
      </c>
      <c r="B76" s="325"/>
      <c r="C76" s="158"/>
      <c r="D76" s="163">
        <f>D68+D69+D71+D72+D73</f>
        <v>182.54386800602333</v>
      </c>
    </row>
    <row r="77" spans="1:4" x14ac:dyDescent="0.25">
      <c r="A77" s="155"/>
      <c r="B77" s="155"/>
      <c r="C77" s="155"/>
      <c r="D77" s="155"/>
    </row>
    <row r="78" spans="1:4" x14ac:dyDescent="0.25">
      <c r="A78" s="155"/>
      <c r="B78" s="155"/>
      <c r="C78" s="155"/>
      <c r="D78" s="155"/>
    </row>
    <row r="79" spans="1:4" x14ac:dyDescent="0.25">
      <c r="A79" s="326" t="s">
        <v>58</v>
      </c>
      <c r="B79" s="326"/>
      <c r="C79" s="326"/>
      <c r="D79" s="155"/>
    </row>
    <row r="80" spans="1:4" x14ac:dyDescent="0.25">
      <c r="A80" s="155"/>
      <c r="B80" s="155"/>
      <c r="C80" s="155"/>
      <c r="D80" s="155"/>
    </row>
    <row r="81" spans="1:4" x14ac:dyDescent="0.25">
      <c r="A81" s="155"/>
      <c r="B81" s="155"/>
      <c r="C81" s="155"/>
      <c r="D81" s="155"/>
    </row>
    <row r="82" spans="1:4" x14ac:dyDescent="0.25">
      <c r="A82" s="327" t="s">
        <v>59</v>
      </c>
      <c r="B82" s="327"/>
      <c r="C82" s="327"/>
      <c r="D82" s="155"/>
    </row>
    <row r="83" spans="1:4" ht="16.5" thickBot="1" x14ac:dyDescent="0.3">
      <c r="A83" s="162"/>
      <c r="B83" s="155"/>
      <c r="C83" s="155"/>
      <c r="D83" s="155"/>
    </row>
    <row r="84" spans="1:4" ht="16.5" thickBot="1" x14ac:dyDescent="0.3">
      <c r="A84" s="156" t="s">
        <v>60</v>
      </c>
      <c r="B84" s="157" t="s">
        <v>61</v>
      </c>
      <c r="C84" s="176" t="s">
        <v>62</v>
      </c>
      <c r="D84" s="159" t="s">
        <v>6</v>
      </c>
    </row>
    <row r="85" spans="1:4" ht="16.5" thickBot="1" x14ac:dyDescent="0.3">
      <c r="A85" s="160" t="s">
        <v>7</v>
      </c>
      <c r="B85" s="161" t="s">
        <v>63</v>
      </c>
      <c r="C85" s="16">
        <v>30</v>
      </c>
      <c r="D85" s="163">
        <f>(($D$17+$D$27+$D$100+$D$122+$D$53+$D$68+$D$71-$D$47)/30)*C85/12</f>
        <v>545.47776187664374</v>
      </c>
    </row>
    <row r="86" spans="1:4" ht="16.5" thickBot="1" x14ac:dyDescent="0.3">
      <c r="A86" s="160" t="s">
        <v>9</v>
      </c>
      <c r="B86" s="161" t="s">
        <v>64</v>
      </c>
      <c r="C86" s="30">
        <f>'CHEFE BRIG FOLGUISTA'!C86</f>
        <v>0.02</v>
      </c>
      <c r="D86" s="163">
        <f>(($D$17+$D$27+$D$100+$D$122+$D$53+$D$68+$D$71-$D$47)/30)*C86/12</f>
        <v>0.36365184125109579</v>
      </c>
    </row>
    <row r="87" spans="1:4" ht="16.5" thickBot="1" x14ac:dyDescent="0.3">
      <c r="A87" s="160" t="s">
        <v>11</v>
      </c>
      <c r="B87" s="161" t="s">
        <v>65</v>
      </c>
      <c r="C87" s="30">
        <f>'CHEFE BRIG FOLGUISTA'!C87</f>
        <v>0.02</v>
      </c>
      <c r="D87" s="163">
        <f>(($D$17+$D$27+$D$100+$D$122+$D$53+$D$68+$D$71-$D$47)/30)*C87/12</f>
        <v>0.36365184125109579</v>
      </c>
    </row>
    <row r="88" spans="1:4" ht="16.5" thickBot="1" x14ac:dyDescent="0.3">
      <c r="A88" s="160" t="s">
        <v>13</v>
      </c>
      <c r="B88" s="161" t="s">
        <v>66</v>
      </c>
      <c r="C88" s="30">
        <f>'CHEFE BRIG FOLGUISTA'!C88</f>
        <v>0.02</v>
      </c>
      <c r="D88" s="163">
        <f>(($D$17+$D$27+$D$100+$D$122+$D$53+$D$68+$D$71-$D$47)/30)*C88/12</f>
        <v>0.36365184125109579</v>
      </c>
    </row>
    <row r="89" spans="1:4" ht="16.5" thickBot="1" x14ac:dyDescent="0.3">
      <c r="A89" s="160" t="s">
        <v>15</v>
      </c>
      <c r="B89" s="161" t="s">
        <v>67</v>
      </c>
      <c r="C89" s="17">
        <v>0</v>
      </c>
      <c r="D89" s="163">
        <f>D100</f>
        <v>0.59295708972499994</v>
      </c>
    </row>
    <row r="90" spans="1:4" ht="16.5" thickBot="1" x14ac:dyDescent="0.3">
      <c r="A90" s="160" t="s">
        <v>17</v>
      </c>
      <c r="B90" s="161" t="s">
        <v>68</v>
      </c>
      <c r="C90" s="30">
        <f>'CHEFE BRIG FOLGUISTA'!C90</f>
        <v>-15</v>
      </c>
      <c r="D90" s="163">
        <f>(($D$17+$D$27+$D$100+$D$122+$D$53+$D$68+$D$71-$D$47)/30)*C90/12</f>
        <v>-272.73888093832187</v>
      </c>
    </row>
    <row r="91" spans="1:4" ht="16.5" thickBot="1" x14ac:dyDescent="0.3">
      <c r="A91" s="324" t="s">
        <v>40</v>
      </c>
      <c r="B91" s="325"/>
      <c r="C91" s="158"/>
      <c r="D91" s="13">
        <f>SUM(D85:D90)-D89</f>
        <v>273.82983646207521</v>
      </c>
    </row>
    <row r="92" spans="1:4" x14ac:dyDescent="0.25">
      <c r="A92" s="155"/>
      <c r="B92" s="155"/>
      <c r="C92" s="155"/>
      <c r="D92" s="155"/>
    </row>
    <row r="93" spans="1:4" x14ac:dyDescent="0.25">
      <c r="A93" s="327" t="s">
        <v>69</v>
      </c>
      <c r="B93" s="327"/>
      <c r="C93" s="327"/>
      <c r="D93" s="155"/>
    </row>
    <row r="94" spans="1:4" ht="16.5" thickBot="1" x14ac:dyDescent="0.3">
      <c r="A94" s="155"/>
      <c r="B94" s="155"/>
      <c r="C94" s="155"/>
      <c r="D94" s="155"/>
    </row>
    <row r="95" spans="1:4" ht="16.5" thickBot="1" x14ac:dyDescent="0.3">
      <c r="A95" s="156" t="s">
        <v>70</v>
      </c>
      <c r="B95" s="157" t="s">
        <v>61</v>
      </c>
      <c r="C95" s="176" t="s">
        <v>50</v>
      </c>
      <c r="D95" s="159" t="s">
        <v>6</v>
      </c>
    </row>
    <row r="96" spans="1:4" ht="16.5" thickBot="1" x14ac:dyDescent="0.3">
      <c r="A96" s="160" t="s">
        <v>7</v>
      </c>
      <c r="B96" s="161" t="s">
        <v>71</v>
      </c>
      <c r="C96" s="29">
        <f>'CHEFE BRIG FOLGUISTA'!C96</f>
        <v>6.9999999999999999E-4</v>
      </c>
      <c r="D96" s="163">
        <f>(((D17+1/3*D17)*4/12))/12*C96</f>
        <v>0.12366798888888886</v>
      </c>
    </row>
    <row r="97" spans="1:4" ht="30.75" thickBot="1" x14ac:dyDescent="0.3">
      <c r="A97" s="160" t="s">
        <v>9</v>
      </c>
      <c r="B97" s="161" t="s">
        <v>72</v>
      </c>
      <c r="C97" s="18">
        <v>0</v>
      </c>
      <c r="D97" s="163">
        <f>D96*C41</f>
        <v>4.3654800077777771E-2</v>
      </c>
    </row>
    <row r="98" spans="1:4" ht="30.75" thickBot="1" x14ac:dyDescent="0.3">
      <c r="A98" s="160" t="s">
        <v>11</v>
      </c>
      <c r="B98" s="161" t="s">
        <v>73</v>
      </c>
      <c r="C98" s="18">
        <v>0</v>
      </c>
      <c r="D98" s="163">
        <f>(((D17+D17/12)*(4/12)*C96)*C41)</f>
        <v>0.42563430075833331</v>
      </c>
    </row>
    <row r="99" spans="1:4" ht="16.5" thickBot="1" x14ac:dyDescent="0.3">
      <c r="A99" s="160" t="s">
        <v>13</v>
      </c>
      <c r="B99" s="161" t="s">
        <v>74</v>
      </c>
      <c r="C99" s="18">
        <v>0</v>
      </c>
      <c r="D99" s="163">
        <v>0</v>
      </c>
    </row>
    <row r="100" spans="1:4" ht="16.5" thickBot="1" x14ac:dyDescent="0.3">
      <c r="A100" s="160"/>
      <c r="B100" s="161" t="s">
        <v>75</v>
      </c>
      <c r="C100" s="18"/>
      <c r="D100" s="163">
        <f>SUM(D96:D99)</f>
        <v>0.59295708972499994</v>
      </c>
    </row>
    <row r="101" spans="1:4" x14ac:dyDescent="0.25">
      <c r="A101" s="155"/>
      <c r="B101" s="155"/>
      <c r="C101" s="155"/>
      <c r="D101" s="155"/>
    </row>
    <row r="102" spans="1:4" x14ac:dyDescent="0.25">
      <c r="A102" s="155"/>
      <c r="B102" s="155"/>
      <c r="C102" s="155"/>
      <c r="D102" s="155"/>
    </row>
    <row r="103" spans="1:4" x14ac:dyDescent="0.25">
      <c r="A103" s="327" t="s">
        <v>76</v>
      </c>
      <c r="B103" s="327"/>
      <c r="C103" s="327"/>
      <c r="D103" s="155"/>
    </row>
    <row r="104" spans="1:4" ht="16.5" thickBot="1" x14ac:dyDescent="0.3">
      <c r="A104" s="162"/>
      <c r="B104" s="155"/>
      <c r="C104" s="155"/>
      <c r="D104" s="155"/>
    </row>
    <row r="105" spans="1:4" ht="16.5" thickBot="1" x14ac:dyDescent="0.3">
      <c r="A105" s="156" t="s">
        <v>77</v>
      </c>
      <c r="B105" s="157" t="s">
        <v>78</v>
      </c>
      <c r="C105" s="158"/>
      <c r="D105" s="159" t="s">
        <v>6</v>
      </c>
    </row>
    <row r="106" spans="1:4" ht="16.5" thickBot="1" x14ac:dyDescent="0.3">
      <c r="A106" s="160" t="s">
        <v>7</v>
      </c>
      <c r="B106" s="161" t="s">
        <v>79</v>
      </c>
      <c r="C106" s="158"/>
      <c r="D106" s="171"/>
    </row>
    <row r="107" spans="1:4" ht="16.5" thickBot="1" x14ac:dyDescent="0.3">
      <c r="A107" s="324" t="s">
        <v>20</v>
      </c>
      <c r="B107" s="325"/>
      <c r="C107" s="158"/>
      <c r="D107" s="13">
        <f>D106</f>
        <v>0</v>
      </c>
    </row>
    <row r="108" spans="1:4" x14ac:dyDescent="0.25">
      <c r="A108" s="155"/>
      <c r="B108" s="155"/>
      <c r="C108" s="155"/>
      <c r="D108" s="155"/>
    </row>
    <row r="109" spans="1:4" x14ac:dyDescent="0.25">
      <c r="A109" s="155"/>
      <c r="B109" s="155"/>
      <c r="C109" s="155"/>
      <c r="D109" s="155"/>
    </row>
    <row r="110" spans="1:4" x14ac:dyDescent="0.25">
      <c r="A110" s="327" t="s">
        <v>80</v>
      </c>
      <c r="B110" s="327"/>
      <c r="C110" s="327"/>
      <c r="D110" s="155"/>
    </row>
    <row r="111" spans="1:4" ht="16.5" thickBot="1" x14ac:dyDescent="0.3">
      <c r="A111" s="162"/>
      <c r="B111" s="155"/>
      <c r="C111" s="155"/>
      <c r="D111" s="155"/>
    </row>
    <row r="112" spans="1:4" ht="16.5" thickBot="1" x14ac:dyDescent="0.3">
      <c r="A112" s="156">
        <v>4</v>
      </c>
      <c r="B112" s="157" t="s">
        <v>81</v>
      </c>
      <c r="C112" s="158"/>
      <c r="D112" s="159" t="s">
        <v>6</v>
      </c>
    </row>
    <row r="113" spans="1:4" ht="16.5" thickBot="1" x14ac:dyDescent="0.3">
      <c r="A113" s="160" t="s">
        <v>60</v>
      </c>
      <c r="B113" s="161" t="s">
        <v>82</v>
      </c>
      <c r="C113" s="158"/>
      <c r="D113" s="168">
        <f>D91</f>
        <v>273.82983646207521</v>
      </c>
    </row>
    <row r="114" spans="1:4" ht="16.5" thickBot="1" x14ac:dyDescent="0.3">
      <c r="A114" s="160" t="s">
        <v>70</v>
      </c>
      <c r="B114" s="161" t="s">
        <v>83</v>
      </c>
      <c r="C114" s="158"/>
      <c r="D114" s="168">
        <f>D100</f>
        <v>0.59295708972499994</v>
      </c>
    </row>
    <row r="115" spans="1:4" ht="16.5" thickBot="1" x14ac:dyDescent="0.3">
      <c r="A115" s="160" t="s">
        <v>77</v>
      </c>
      <c r="B115" s="161" t="s">
        <v>84</v>
      </c>
      <c r="C115" s="158"/>
      <c r="D115" s="168">
        <f>D107</f>
        <v>0</v>
      </c>
    </row>
    <row r="116" spans="1:4" ht="16.5" thickBot="1" x14ac:dyDescent="0.3">
      <c r="A116" s="324" t="s">
        <v>20</v>
      </c>
      <c r="B116" s="325"/>
      <c r="C116" s="158"/>
      <c r="D116" s="13">
        <f>SUM(D113:D115)</f>
        <v>274.42279355180023</v>
      </c>
    </row>
    <row r="117" spans="1:4" x14ac:dyDescent="0.25">
      <c r="A117" s="155"/>
      <c r="B117" s="155"/>
      <c r="C117" s="155"/>
      <c r="D117" s="155"/>
    </row>
    <row r="118" spans="1:4" x14ac:dyDescent="0.25">
      <c r="A118" s="155"/>
      <c r="B118" s="155"/>
      <c r="C118" s="155"/>
      <c r="D118" s="155"/>
    </row>
    <row r="119" spans="1:4" x14ac:dyDescent="0.25">
      <c r="A119" s="326" t="s">
        <v>85</v>
      </c>
      <c r="B119" s="326"/>
      <c r="C119" s="326"/>
      <c r="D119" s="155"/>
    </row>
    <row r="120" spans="1:4" ht="16.5" thickBot="1" x14ac:dyDescent="0.3">
      <c r="A120" s="155"/>
      <c r="B120" s="155"/>
      <c r="C120" s="155"/>
      <c r="D120" s="155"/>
    </row>
    <row r="121" spans="1:4" ht="16.5" thickBot="1" x14ac:dyDescent="0.3">
      <c r="A121" s="156">
        <v>5</v>
      </c>
      <c r="B121" s="177" t="s">
        <v>86</v>
      </c>
      <c r="C121" s="158"/>
      <c r="D121" s="159" t="s">
        <v>6</v>
      </c>
    </row>
    <row r="122" spans="1:4" x14ac:dyDescent="0.25">
      <c r="A122" s="160" t="s">
        <v>7</v>
      </c>
      <c r="B122" s="161" t="s">
        <v>87</v>
      </c>
      <c r="C122" s="158"/>
      <c r="D122" s="19">
        <f>UNIFORMES!F16</f>
        <v>48.666666666666664</v>
      </c>
    </row>
    <row r="123" spans="1:4" ht="16.5" thickBot="1" x14ac:dyDescent="0.3">
      <c r="A123" s="160" t="s">
        <v>9</v>
      </c>
      <c r="B123" s="161" t="s">
        <v>88</v>
      </c>
      <c r="C123" s="158"/>
      <c r="D123" s="38"/>
    </row>
    <row r="124" spans="1:4" ht="16.5" thickBot="1" x14ac:dyDescent="0.3">
      <c r="A124" s="160" t="s">
        <v>11</v>
      </c>
      <c r="B124" s="161" t="s">
        <v>19</v>
      </c>
      <c r="C124" s="158"/>
      <c r="D124" s="27">
        <v>0</v>
      </c>
    </row>
    <row r="125" spans="1:4" ht="16.5" thickBot="1" x14ac:dyDescent="0.3">
      <c r="A125" s="324" t="s">
        <v>40</v>
      </c>
      <c r="B125" s="325"/>
      <c r="C125" s="158"/>
      <c r="D125" s="13">
        <f>SUM(D122:D124)</f>
        <v>48.666666666666664</v>
      </c>
    </row>
    <row r="126" spans="1:4" x14ac:dyDescent="0.25">
      <c r="A126" s="155"/>
      <c r="B126" s="155"/>
      <c r="C126" s="155"/>
      <c r="D126" s="155"/>
    </row>
    <row r="127" spans="1:4" x14ac:dyDescent="0.25">
      <c r="A127" s="155"/>
      <c r="B127" s="155"/>
      <c r="C127" s="155"/>
      <c r="D127" s="155"/>
    </row>
    <row r="128" spans="1:4" x14ac:dyDescent="0.25">
      <c r="A128" s="326" t="s">
        <v>89</v>
      </c>
      <c r="B128" s="326"/>
      <c r="C128" s="326"/>
      <c r="D128" s="155"/>
    </row>
    <row r="129" spans="1:4" ht="16.5" thickBot="1" x14ac:dyDescent="0.3">
      <c r="A129" s="155"/>
      <c r="B129" s="155"/>
      <c r="C129" s="155"/>
      <c r="D129" s="155"/>
    </row>
    <row r="130" spans="1:4" ht="16.5" thickBot="1" x14ac:dyDescent="0.3">
      <c r="A130" s="156">
        <v>6</v>
      </c>
      <c r="B130" s="178" t="s">
        <v>90</v>
      </c>
      <c r="C130" s="159" t="s">
        <v>30</v>
      </c>
      <c r="D130" s="159" t="s">
        <v>6</v>
      </c>
    </row>
    <row r="131" spans="1:4" ht="16.5" thickBot="1" x14ac:dyDescent="0.3">
      <c r="A131" s="160" t="s">
        <v>7</v>
      </c>
      <c r="B131" s="164" t="s">
        <v>91</v>
      </c>
      <c r="C131" s="31">
        <f>'CHEFE BRIG FOLGUISTA'!C131</f>
        <v>2.385265E-2</v>
      </c>
      <c r="D131" s="163">
        <f>(D17+D62+D76+D116+D125)*C131</f>
        <v>214.98750634795002</v>
      </c>
    </row>
    <row r="132" spans="1:4" ht="16.5" thickBot="1" x14ac:dyDescent="0.3">
      <c r="A132" s="160" t="s">
        <v>9</v>
      </c>
      <c r="B132" s="164" t="s">
        <v>92</v>
      </c>
      <c r="C132" s="31">
        <f>'CHEFE BRIG FOLGUISTA'!C132</f>
        <v>0.02</v>
      </c>
      <c r="D132" s="163">
        <f>(D17+D62+D76+D116+D125+D131)*C132</f>
        <v>184.56274509644879</v>
      </c>
    </row>
    <row r="133" spans="1:4" ht="16.5" thickBot="1" x14ac:dyDescent="0.3">
      <c r="A133" s="160" t="s">
        <v>11</v>
      </c>
      <c r="B133" s="164" t="s">
        <v>93</v>
      </c>
      <c r="C133" s="20">
        <f>1-(SUM(C134:C136))</f>
        <v>0.91349999999999998</v>
      </c>
      <c r="D133" s="179">
        <f>(D17+D62+D76+D116+D125+D131+D132)/C133</f>
        <v>10303.995621148209</v>
      </c>
    </row>
    <row r="134" spans="1:4" ht="16.5" thickBot="1" x14ac:dyDescent="0.3">
      <c r="A134" s="160"/>
      <c r="B134" s="164" t="s">
        <v>94</v>
      </c>
      <c r="C134" s="31">
        <f>'CHEFE BRIG FOLGUISTA'!C134</f>
        <v>3.6499999999999998E-2</v>
      </c>
      <c r="D134" s="163">
        <f>D133*C134</f>
        <v>376.09584017190963</v>
      </c>
    </row>
    <row r="135" spans="1:4" ht="16.5" thickBot="1" x14ac:dyDescent="0.3">
      <c r="A135" s="160"/>
      <c r="B135" s="164" t="s">
        <v>95</v>
      </c>
      <c r="C135" s="31">
        <f>'CHEFE BRIG FOLGUISTA'!C135</f>
        <v>0</v>
      </c>
      <c r="D135" s="163">
        <f>D133*C135</f>
        <v>0</v>
      </c>
    </row>
    <row r="136" spans="1:4" ht="16.5" thickBot="1" x14ac:dyDescent="0.3">
      <c r="A136" s="160"/>
      <c r="B136" s="164" t="s">
        <v>96</v>
      </c>
      <c r="C136" s="31">
        <f>'CHEFE BRIG FOLGUISTA'!C136</f>
        <v>0.05</v>
      </c>
      <c r="D136" s="163">
        <f>D133*C136</f>
        <v>515.19978105741052</v>
      </c>
    </row>
    <row r="137" spans="1:4" ht="16.5" thickBot="1" x14ac:dyDescent="0.3">
      <c r="A137" s="324" t="s">
        <v>40</v>
      </c>
      <c r="B137" s="331"/>
      <c r="C137" s="171"/>
      <c r="D137" s="163">
        <f>D131+D132+D134+D135+D136</f>
        <v>1290.845872673719</v>
      </c>
    </row>
    <row r="138" spans="1:4" x14ac:dyDescent="0.25">
      <c r="A138" s="155"/>
      <c r="B138" s="155"/>
      <c r="C138" s="155"/>
      <c r="D138" s="155"/>
    </row>
    <row r="139" spans="1:4" x14ac:dyDescent="0.25">
      <c r="A139" s="155"/>
      <c r="B139" s="155"/>
      <c r="C139" s="155"/>
      <c r="D139" s="155"/>
    </row>
    <row r="140" spans="1:4" x14ac:dyDescent="0.25">
      <c r="A140" s="326" t="s">
        <v>97</v>
      </c>
      <c r="B140" s="326"/>
      <c r="C140" s="326"/>
      <c r="D140" s="155"/>
    </row>
    <row r="141" spans="1:4" ht="16.5" thickBot="1" x14ac:dyDescent="0.3">
      <c r="A141" s="155"/>
      <c r="B141" s="155"/>
      <c r="C141" s="155"/>
      <c r="D141" s="155"/>
    </row>
    <row r="142" spans="1:4" ht="32.25" thickBot="1" x14ac:dyDescent="0.3">
      <c r="A142" s="156"/>
      <c r="B142" s="157" t="s">
        <v>98</v>
      </c>
      <c r="C142" s="158"/>
      <c r="D142" s="159" t="s">
        <v>6</v>
      </c>
    </row>
    <row r="143" spans="1:4" ht="16.5" thickBot="1" x14ac:dyDescent="0.3">
      <c r="A143" s="181" t="s">
        <v>7</v>
      </c>
      <c r="B143" s="161" t="s">
        <v>4</v>
      </c>
      <c r="C143" s="158"/>
      <c r="D143" s="182">
        <f>D17</f>
        <v>4770.0509999999995</v>
      </c>
    </row>
    <row r="144" spans="1:4" ht="16.5" thickBot="1" x14ac:dyDescent="0.3">
      <c r="A144" s="181" t="s">
        <v>9</v>
      </c>
      <c r="B144" s="161" t="s">
        <v>21</v>
      </c>
      <c r="C144" s="158"/>
      <c r="D144" s="183">
        <f>D62</f>
        <v>3737.4654202499996</v>
      </c>
    </row>
    <row r="145" spans="1:4" ht="16.5" thickBot="1" x14ac:dyDescent="0.3">
      <c r="A145" s="181" t="s">
        <v>11</v>
      </c>
      <c r="B145" s="161" t="s">
        <v>48</v>
      </c>
      <c r="C145" s="158"/>
      <c r="D145" s="183">
        <f>D76</f>
        <v>182.54386800602333</v>
      </c>
    </row>
    <row r="146" spans="1:4" ht="16.5" thickBot="1" x14ac:dyDescent="0.3">
      <c r="A146" s="181" t="s">
        <v>13</v>
      </c>
      <c r="B146" s="161" t="s">
        <v>58</v>
      </c>
      <c r="C146" s="158"/>
      <c r="D146" s="182">
        <f>D116</f>
        <v>274.42279355180023</v>
      </c>
    </row>
    <row r="147" spans="1:4" ht="16.5" thickBot="1" x14ac:dyDescent="0.3">
      <c r="A147" s="181" t="s">
        <v>15</v>
      </c>
      <c r="B147" s="161" t="s">
        <v>85</v>
      </c>
      <c r="C147" s="158"/>
      <c r="D147" s="182">
        <f>D125</f>
        <v>48.666666666666664</v>
      </c>
    </row>
    <row r="148" spans="1:4" ht="16.5" customHeight="1" thickBot="1" x14ac:dyDescent="0.3">
      <c r="A148" s="324" t="s">
        <v>99</v>
      </c>
      <c r="B148" s="325"/>
      <c r="C148" s="158"/>
      <c r="D148" s="182">
        <f>SUM(D143:D147)</f>
        <v>9013.1497484744887</v>
      </c>
    </row>
    <row r="149" spans="1:4" x14ac:dyDescent="0.25">
      <c r="A149" s="181" t="s">
        <v>17</v>
      </c>
      <c r="B149" s="161" t="s">
        <v>100</v>
      </c>
      <c r="C149" s="158"/>
      <c r="D149" s="183">
        <f>D137</f>
        <v>1290.845872673719</v>
      </c>
    </row>
    <row r="150" spans="1:4" ht="16.5" customHeight="1" x14ac:dyDescent="0.25">
      <c r="A150" s="321" t="s">
        <v>101</v>
      </c>
      <c r="B150" s="322"/>
      <c r="C150" s="323"/>
      <c r="D150" s="184">
        <f>SUM(D148:D149)</f>
        <v>10303.995621148208</v>
      </c>
    </row>
    <row r="152" spans="1:4" s="36" customFormat="1" ht="12" x14ac:dyDescent="0.2">
      <c r="A152" s="348"/>
      <c r="B152" s="348"/>
      <c r="C152" s="348"/>
      <c r="D152" s="348"/>
    </row>
  </sheetData>
  <sheetProtection algorithmName="SHA-512" hashValue="UKDV17mFZ1/DYE4rrU7KkgsbIg1ZSOrsjT0q72DEnPUmIP/TuKS/pGBDc6pvMgUq0/6nPD0Jsq44CUbE2d4Tdw==" saltValue="O/oK4EhMG2U1otbmxqR1lg==" spinCount="100000" sheet="1" objects="1" scenarios="1"/>
  <mergeCells count="34">
    <mergeCell ref="A152:D152"/>
    <mergeCell ref="A150:C150"/>
    <mergeCell ref="A148:B148"/>
    <mergeCell ref="A116:B116"/>
    <mergeCell ref="A119:C119"/>
    <mergeCell ref="A125:B125"/>
    <mergeCell ref="A128:C128"/>
    <mergeCell ref="A137:B137"/>
    <mergeCell ref="A140:C140"/>
    <mergeCell ref="A91:B91"/>
    <mergeCell ref="A93:C93"/>
    <mergeCell ref="A103:C103"/>
    <mergeCell ref="A107:B107"/>
    <mergeCell ref="A110:C110"/>
    <mergeCell ref="A62:B62"/>
    <mergeCell ref="A65:C65"/>
    <mergeCell ref="A76:B76"/>
    <mergeCell ref="A79:C79"/>
    <mergeCell ref="A82:C82"/>
    <mergeCell ref="A30:D30"/>
    <mergeCell ref="A41:B41"/>
    <mergeCell ref="A44:C44"/>
    <mergeCell ref="A53:B53"/>
    <mergeCell ref="A56:C56"/>
    <mergeCell ref="A4:B4"/>
    <mergeCell ref="C4:D4"/>
    <mergeCell ref="A20:D20"/>
    <mergeCell ref="A22:D22"/>
    <mergeCell ref="A27:B27"/>
    <mergeCell ref="A5:D5"/>
    <mergeCell ref="A6:D6"/>
    <mergeCell ref="A7:D7"/>
    <mergeCell ref="A8:D8"/>
    <mergeCell ref="A17:B17"/>
  </mergeCells>
  <pageMargins left="0.25" right="0.25" top="0.75" bottom="0.75" header="0.3" footer="0.3"/>
  <pageSetup paperSize="9" scale="8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C7929-5B1C-4270-A67A-D2294879CD99}">
  <sheetPr>
    <tabColor theme="7"/>
  </sheetPr>
  <dimension ref="A1:M152"/>
  <sheetViews>
    <sheetView showGridLines="0" view="pageBreakPreview" topLeftCell="A79" zoomScaleNormal="100" zoomScaleSheetLayoutView="100" workbookViewId="0">
      <selection activeCell="C90" sqref="C90"/>
    </sheetView>
  </sheetViews>
  <sheetFormatPr defaultColWidth="9.140625" defaultRowHeight="15.75" x14ac:dyDescent="0.25"/>
  <cols>
    <col min="1" max="1" width="7.140625" style="21" customWidth="1"/>
    <col min="2" max="2" width="56.28515625" style="21" customWidth="1"/>
    <col min="3" max="3" width="15.7109375" style="21" bestFit="1" customWidth="1"/>
    <col min="4" max="4" width="14.7109375" style="21" customWidth="1"/>
    <col min="5" max="5" width="15.140625" style="21" customWidth="1"/>
    <col min="6" max="6" width="11.7109375" style="21" bestFit="1" customWidth="1"/>
    <col min="7" max="16384" width="9.140625" style="21"/>
  </cols>
  <sheetData>
    <row r="1" spans="1:13" x14ac:dyDescent="0.25">
      <c r="A1" s="185"/>
      <c r="B1" s="185"/>
      <c r="C1" s="185"/>
      <c r="D1" s="185"/>
    </row>
    <row r="2" spans="1:13" x14ac:dyDescent="0.25">
      <c r="A2" s="349" t="s">
        <v>1</v>
      </c>
      <c r="B2" s="349"/>
      <c r="C2" s="349"/>
      <c r="D2" s="349"/>
    </row>
    <row r="3" spans="1:13" ht="16.5" thickBot="1" x14ac:dyDescent="0.3">
      <c r="A3" s="358"/>
      <c r="B3" s="358"/>
      <c r="C3" s="358"/>
      <c r="D3" s="358"/>
    </row>
    <row r="4" spans="1:13" ht="31.15" customHeight="1" thickBot="1" x14ac:dyDescent="0.3">
      <c r="A4" s="334" t="s">
        <v>2</v>
      </c>
      <c r="B4" s="353"/>
      <c r="C4" s="359" t="s">
        <v>105</v>
      </c>
      <c r="D4" s="360"/>
    </row>
    <row r="5" spans="1:13" ht="16.5" thickBot="1" x14ac:dyDescent="0.3">
      <c r="A5" s="332" t="s">
        <v>395</v>
      </c>
      <c r="B5" s="332"/>
      <c r="C5" s="332"/>
      <c r="D5" s="332"/>
    </row>
    <row r="6" spans="1:13" ht="16.5" thickBot="1" x14ac:dyDescent="0.3">
      <c r="A6" s="332" t="s">
        <v>396</v>
      </c>
      <c r="B6" s="332"/>
      <c r="C6" s="332"/>
      <c r="D6" s="332"/>
    </row>
    <row r="7" spans="1:13" ht="16.5" thickBot="1" x14ac:dyDescent="0.3">
      <c r="A7" s="338" t="s">
        <v>394</v>
      </c>
      <c r="B7" s="338"/>
      <c r="C7" s="338"/>
      <c r="D7" s="338"/>
    </row>
    <row r="8" spans="1:13" x14ac:dyDescent="0.25">
      <c r="A8" s="339" t="s">
        <v>4</v>
      </c>
      <c r="B8" s="339"/>
      <c r="C8" s="339"/>
      <c r="D8" s="339"/>
    </row>
    <row r="9" spans="1:13" ht="16.5" thickBot="1" x14ac:dyDescent="0.3">
      <c r="A9" s="155"/>
      <c r="B9" s="155"/>
      <c r="C9" s="155"/>
      <c r="D9" s="155"/>
    </row>
    <row r="10" spans="1:13" ht="16.5" thickBot="1" x14ac:dyDescent="0.3">
      <c r="A10" s="156">
        <v>1</v>
      </c>
      <c r="B10" s="157" t="s">
        <v>5</v>
      </c>
      <c r="C10" s="158"/>
      <c r="D10" s="186" t="s">
        <v>6</v>
      </c>
    </row>
    <row r="11" spans="1:13" ht="16.5" thickBot="1" x14ac:dyDescent="0.3">
      <c r="A11" s="160" t="s">
        <v>7</v>
      </c>
      <c r="B11" s="161" t="s">
        <v>8</v>
      </c>
      <c r="C11" s="187"/>
      <c r="D11" s="33">
        <f>'BP 12X36 DIURNO'!D11/220*12*4.35</f>
        <v>870.6176999999999</v>
      </c>
      <c r="E11" s="356"/>
      <c r="F11" s="357"/>
      <c r="G11" s="357"/>
      <c r="H11" s="357"/>
      <c r="I11" s="357"/>
      <c r="J11" s="357"/>
      <c r="K11" s="357"/>
      <c r="L11" s="357"/>
      <c r="M11" s="357"/>
    </row>
    <row r="12" spans="1:13" ht="16.5" thickBot="1" x14ac:dyDescent="0.3">
      <c r="A12" s="160" t="s">
        <v>9</v>
      </c>
      <c r="B12" s="161" t="s">
        <v>10</v>
      </c>
      <c r="C12" s="23">
        <v>0.3</v>
      </c>
      <c r="D12" s="10">
        <f>D11*C12</f>
        <v>261.18530999999996</v>
      </c>
    </row>
    <row r="13" spans="1:13" ht="16.5" thickBot="1" x14ac:dyDescent="0.3">
      <c r="A13" s="160" t="s">
        <v>11</v>
      </c>
      <c r="B13" s="161" t="s">
        <v>12</v>
      </c>
      <c r="C13" s="158"/>
      <c r="D13" s="10">
        <v>0</v>
      </c>
    </row>
    <row r="14" spans="1:13" ht="16.5" thickBot="1" x14ac:dyDescent="0.3">
      <c r="A14" s="160" t="s">
        <v>13</v>
      </c>
      <c r="B14" s="161" t="s">
        <v>14</v>
      </c>
      <c r="C14" s="39"/>
      <c r="D14" s="10">
        <f>((D11+D12)/220*0.2)*C14</f>
        <v>0</v>
      </c>
    </row>
    <row r="15" spans="1:13" ht="16.5" thickBot="1" x14ac:dyDescent="0.3">
      <c r="A15" s="160" t="s">
        <v>15</v>
      </c>
      <c r="B15" s="161" t="s">
        <v>16</v>
      </c>
      <c r="C15" s="158"/>
      <c r="D15" s="10">
        <f>PRODUCT(((C14/52.5)*60)-C14)*(((D11+D12)/220*1.2))</f>
        <v>0</v>
      </c>
    </row>
    <row r="16" spans="1:13" ht="16.5" thickBot="1" x14ac:dyDescent="0.3">
      <c r="A16" s="160" t="s">
        <v>17</v>
      </c>
      <c r="B16" s="161" t="s">
        <v>19</v>
      </c>
      <c r="C16" s="158"/>
      <c r="D16" s="22"/>
    </row>
    <row r="17" spans="1:10" ht="16.5" thickBot="1" x14ac:dyDescent="0.3">
      <c r="A17" s="324" t="s">
        <v>20</v>
      </c>
      <c r="B17" s="325"/>
      <c r="C17" s="158"/>
      <c r="D17" s="11">
        <f>SUM(D11:D15)+D16</f>
        <v>1131.8030099999999</v>
      </c>
    </row>
    <row r="18" spans="1:10" x14ac:dyDescent="0.25">
      <c r="A18" s="155"/>
      <c r="B18" s="155"/>
      <c r="C18" s="155"/>
      <c r="D18" s="155"/>
    </row>
    <row r="19" spans="1:10" x14ac:dyDescent="0.25">
      <c r="A19" s="155"/>
      <c r="B19" s="155"/>
      <c r="C19" s="155"/>
      <c r="D19" s="155"/>
    </row>
    <row r="20" spans="1:10" x14ac:dyDescent="0.25">
      <c r="A20" s="326" t="s">
        <v>21</v>
      </c>
      <c r="B20" s="326"/>
      <c r="C20" s="326"/>
      <c r="D20" s="326"/>
    </row>
    <row r="21" spans="1:10" x14ac:dyDescent="0.25">
      <c r="A21" s="162"/>
      <c r="B21" s="155"/>
      <c r="C21" s="155"/>
      <c r="D21" s="155"/>
    </row>
    <row r="22" spans="1:10" x14ac:dyDescent="0.25">
      <c r="A22" s="327" t="s">
        <v>22</v>
      </c>
      <c r="B22" s="327"/>
      <c r="C22" s="327"/>
      <c r="D22" s="327"/>
    </row>
    <row r="23" spans="1:10" ht="16.5" thickBot="1" x14ac:dyDescent="0.3">
      <c r="A23" s="155"/>
      <c r="B23" s="155"/>
      <c r="C23" s="155"/>
      <c r="D23" s="155"/>
    </row>
    <row r="24" spans="1:10" ht="32.25" thickBot="1" x14ac:dyDescent="0.3">
      <c r="A24" s="156" t="s">
        <v>23</v>
      </c>
      <c r="B24" s="157" t="s">
        <v>24</v>
      </c>
      <c r="C24" s="158"/>
      <c r="D24" s="159" t="s">
        <v>6</v>
      </c>
    </row>
    <row r="25" spans="1:10" ht="16.5" thickBot="1" x14ac:dyDescent="0.3">
      <c r="A25" s="160" t="s">
        <v>7</v>
      </c>
      <c r="B25" s="161" t="s">
        <v>25</v>
      </c>
      <c r="C25" s="158"/>
      <c r="D25" s="163">
        <f>D17/12</f>
        <v>94.316917499999988</v>
      </c>
    </row>
    <row r="26" spans="1:10" ht="16.5" thickBot="1" x14ac:dyDescent="0.3">
      <c r="A26" s="160" t="s">
        <v>9</v>
      </c>
      <c r="B26" s="161" t="s">
        <v>26</v>
      </c>
      <c r="C26" s="158"/>
      <c r="D26" s="163">
        <f>(D17/12)+(D17*1/3/12)</f>
        <v>125.75588999999998</v>
      </c>
    </row>
    <row r="27" spans="1:10" ht="16.5" thickBot="1" x14ac:dyDescent="0.3">
      <c r="A27" s="324" t="s">
        <v>20</v>
      </c>
      <c r="B27" s="325"/>
      <c r="C27" s="158"/>
      <c r="D27" s="163">
        <f>SUM(D25:D26)</f>
        <v>220.07280749999995</v>
      </c>
      <c r="J27" s="185"/>
    </row>
    <row r="28" spans="1:10" x14ac:dyDescent="0.25">
      <c r="A28" s="155"/>
      <c r="B28" s="155"/>
      <c r="C28" s="155"/>
      <c r="D28" s="155"/>
    </row>
    <row r="29" spans="1:10" x14ac:dyDescent="0.25">
      <c r="A29" s="155"/>
      <c r="B29" s="155"/>
      <c r="C29" s="155"/>
      <c r="D29" s="155"/>
    </row>
    <row r="30" spans="1:10" ht="32.25" customHeight="1" x14ac:dyDescent="0.25">
      <c r="A30" s="330" t="s">
        <v>27</v>
      </c>
      <c r="B30" s="330"/>
      <c r="C30" s="330"/>
      <c r="D30" s="330"/>
    </row>
    <row r="31" spans="1:10" ht="16.5" thickBot="1" x14ac:dyDescent="0.3">
      <c r="A31" s="155"/>
      <c r="B31" s="155"/>
      <c r="C31" s="155"/>
      <c r="D31" s="155"/>
    </row>
    <row r="32" spans="1:10" ht="32.25" thickBot="1" x14ac:dyDescent="0.3">
      <c r="A32" s="156" t="s">
        <v>28</v>
      </c>
      <c r="B32" s="159" t="s">
        <v>29</v>
      </c>
      <c r="C32" s="159" t="s">
        <v>30</v>
      </c>
      <c r="D32" s="159" t="s">
        <v>6</v>
      </c>
    </row>
    <row r="33" spans="1:4" ht="16.5" thickBot="1" x14ac:dyDescent="0.3">
      <c r="A33" s="160" t="s">
        <v>7</v>
      </c>
      <c r="B33" s="164" t="s">
        <v>31</v>
      </c>
      <c r="C33" s="24">
        <f>'CHEFE BRIG FOLGUISTA'!C33</f>
        <v>0.2</v>
      </c>
      <c r="D33" s="163">
        <f>($D$17*C33)+($D$27*C33)</f>
        <v>270.37516349999999</v>
      </c>
    </row>
    <row r="34" spans="1:4" ht="16.5" thickBot="1" x14ac:dyDescent="0.3">
      <c r="A34" s="160" t="s">
        <v>9</v>
      </c>
      <c r="B34" s="164" t="s">
        <v>32</v>
      </c>
      <c r="C34" s="24">
        <f>'CHEFE BRIG FOLGUISTA'!C34</f>
        <v>2.5000000000000001E-2</v>
      </c>
      <c r="D34" s="163">
        <f>($D$17*C34)+($D$27*C34)</f>
        <v>33.796895437499998</v>
      </c>
    </row>
    <row r="35" spans="1:4" ht="16.5" thickBot="1" x14ac:dyDescent="0.3">
      <c r="A35" s="160" t="s">
        <v>11</v>
      </c>
      <c r="B35" s="164" t="s">
        <v>33</v>
      </c>
      <c r="C35" s="24">
        <f>'CHEFE BRIG FOLGUISTA'!C35</f>
        <v>1.4999999999999999E-2</v>
      </c>
      <c r="D35" s="163">
        <f t="shared" ref="D35:D40" si="0">($D$17*C35)+($D$27*C35)</f>
        <v>20.278137262499996</v>
      </c>
    </row>
    <row r="36" spans="1:4" ht="16.5" thickBot="1" x14ac:dyDescent="0.3">
      <c r="A36" s="160" t="s">
        <v>13</v>
      </c>
      <c r="B36" s="164" t="s">
        <v>34</v>
      </c>
      <c r="C36" s="24">
        <f>'CHEFE BRIG FOLGUISTA'!C36</f>
        <v>1.4999999999999999E-2</v>
      </c>
      <c r="D36" s="163">
        <f t="shared" si="0"/>
        <v>20.278137262499996</v>
      </c>
    </row>
    <row r="37" spans="1:4" ht="16.5" thickBot="1" x14ac:dyDescent="0.3">
      <c r="A37" s="160" t="s">
        <v>15</v>
      </c>
      <c r="B37" s="164" t="s">
        <v>35</v>
      </c>
      <c r="C37" s="24">
        <f>'CHEFE BRIG FOLGUISTA'!C37</f>
        <v>0.01</v>
      </c>
      <c r="D37" s="163">
        <f t="shared" si="0"/>
        <v>13.518758174999999</v>
      </c>
    </row>
    <row r="38" spans="1:4" ht="16.5" thickBot="1" x14ac:dyDescent="0.3">
      <c r="A38" s="160" t="s">
        <v>17</v>
      </c>
      <c r="B38" s="164" t="s">
        <v>36</v>
      </c>
      <c r="C38" s="24">
        <f>'CHEFE BRIG FOLGUISTA'!C38</f>
        <v>6.0000000000000001E-3</v>
      </c>
      <c r="D38" s="163">
        <f t="shared" si="0"/>
        <v>8.1112549049999991</v>
      </c>
    </row>
    <row r="39" spans="1:4" ht="16.5" thickBot="1" x14ac:dyDescent="0.3">
      <c r="A39" s="160" t="s">
        <v>18</v>
      </c>
      <c r="B39" s="164" t="s">
        <v>37</v>
      </c>
      <c r="C39" s="24">
        <f>'CHEFE BRIG FOLGUISTA'!C39</f>
        <v>2E-3</v>
      </c>
      <c r="D39" s="163">
        <f t="shared" si="0"/>
        <v>2.7037516349999997</v>
      </c>
    </row>
    <row r="40" spans="1:4" ht="16.5" thickBot="1" x14ac:dyDescent="0.3">
      <c r="A40" s="160" t="s">
        <v>38</v>
      </c>
      <c r="B40" s="164" t="s">
        <v>39</v>
      </c>
      <c r="C40" s="24">
        <f>'CHEFE BRIG FOLGUISTA'!C40</f>
        <v>0.08</v>
      </c>
      <c r="D40" s="163">
        <f t="shared" si="0"/>
        <v>108.15006539999999</v>
      </c>
    </row>
    <row r="41" spans="1:4" ht="16.5" thickBot="1" x14ac:dyDescent="0.3">
      <c r="A41" s="324" t="s">
        <v>40</v>
      </c>
      <c r="B41" s="331"/>
      <c r="C41" s="165">
        <f>SUM(C33:C40)</f>
        <v>0.35300000000000004</v>
      </c>
      <c r="D41" s="163">
        <f>SUM(D33:D40)</f>
        <v>477.21216357749995</v>
      </c>
    </row>
    <row r="42" spans="1:4" x14ac:dyDescent="0.25">
      <c r="A42" s="155"/>
      <c r="B42" s="155"/>
      <c r="C42" s="155"/>
      <c r="D42" s="155"/>
    </row>
    <row r="43" spans="1:4" x14ac:dyDescent="0.25">
      <c r="A43" s="155"/>
      <c r="B43" s="155"/>
      <c r="C43" s="155"/>
      <c r="D43" s="155"/>
    </row>
    <row r="44" spans="1:4" x14ac:dyDescent="0.25">
      <c r="A44" s="327" t="s">
        <v>41</v>
      </c>
      <c r="B44" s="327"/>
      <c r="C44" s="327"/>
      <c r="D44" s="155"/>
    </row>
    <row r="45" spans="1:4" ht="16.5" thickBot="1" x14ac:dyDescent="0.3">
      <c r="A45" s="155"/>
      <c r="B45" s="155"/>
      <c r="C45" s="155"/>
      <c r="D45" s="155"/>
    </row>
    <row r="46" spans="1:4" ht="16.5" thickBot="1" x14ac:dyDescent="0.3">
      <c r="A46" s="156" t="s">
        <v>42</v>
      </c>
      <c r="B46" s="157" t="s">
        <v>43</v>
      </c>
      <c r="C46" s="188" t="s">
        <v>328</v>
      </c>
      <c r="D46" s="159" t="s">
        <v>6</v>
      </c>
    </row>
    <row r="47" spans="1:4" ht="37.9" customHeight="1" thickBot="1" x14ac:dyDescent="0.3">
      <c r="A47" s="160" t="s">
        <v>7</v>
      </c>
      <c r="B47" s="161" t="s">
        <v>44</v>
      </c>
      <c r="C47" s="26">
        <f>'CHEFE BRIG FOLGUISTA'!C47</f>
        <v>5.5</v>
      </c>
      <c r="D47" s="12">
        <f>IF((C47*2*4.35-6%*D11)&gt;0,(C47*2*4.35-6%*D11),0)</f>
        <v>0</v>
      </c>
    </row>
    <row r="48" spans="1:4" ht="38.450000000000003" customHeight="1" thickBot="1" x14ac:dyDescent="0.3">
      <c r="A48" s="160" t="s">
        <v>9</v>
      </c>
      <c r="B48" s="161" t="s">
        <v>45</v>
      </c>
      <c r="C48" s="26">
        <f>'CHEFE BRIG FOLGUISTA'!C48</f>
        <v>45.23</v>
      </c>
      <c r="D48" s="12">
        <f>IF((C48-0.3)*4.35 &lt; 0, "", (C48-0.3)*4.35)</f>
        <v>195.44549999999998</v>
      </c>
    </row>
    <row r="49" spans="1:4" ht="16.5" thickBot="1" x14ac:dyDescent="0.3">
      <c r="A49" s="160" t="s">
        <v>11</v>
      </c>
      <c r="B49" s="161" t="s">
        <v>327</v>
      </c>
      <c r="C49" s="158"/>
      <c r="D49" s="27">
        <f>'CHEFE BRIG FOLGUISTA'!D49</f>
        <v>184.55</v>
      </c>
    </row>
    <row r="50" spans="1:4" ht="16.5" thickBot="1" x14ac:dyDescent="0.3">
      <c r="A50" s="160" t="s">
        <v>13</v>
      </c>
      <c r="B50" s="161" t="s">
        <v>326</v>
      </c>
      <c r="C50" s="158"/>
      <c r="D50" s="27">
        <f>'CHEFE BRIG FOLGUISTA'!D50</f>
        <v>12.81</v>
      </c>
    </row>
    <row r="51" spans="1:4" ht="16.5" thickBot="1" x14ac:dyDescent="0.3">
      <c r="A51" s="160" t="s">
        <v>15</v>
      </c>
      <c r="B51" s="161" t="s">
        <v>325</v>
      </c>
      <c r="C51" s="158"/>
      <c r="D51" s="27"/>
    </row>
    <row r="52" spans="1:4" ht="16.5" thickBot="1" x14ac:dyDescent="0.3">
      <c r="A52" s="160" t="s">
        <v>17</v>
      </c>
      <c r="B52" s="161" t="s">
        <v>19</v>
      </c>
      <c r="C52" s="158"/>
      <c r="D52" s="27">
        <f>'CHEFE BRIG FOLGUISTA'!D52</f>
        <v>15.02</v>
      </c>
    </row>
    <row r="53" spans="1:4" ht="16.5" thickBot="1" x14ac:dyDescent="0.3">
      <c r="A53" s="324" t="s">
        <v>20</v>
      </c>
      <c r="B53" s="325"/>
      <c r="C53" s="158"/>
      <c r="D53" s="13">
        <f>SUM(D47:D52)</f>
        <v>407.82549999999998</v>
      </c>
    </row>
    <row r="54" spans="1:4" x14ac:dyDescent="0.25">
      <c r="A54" s="155"/>
      <c r="B54" s="155"/>
      <c r="C54" s="155"/>
      <c r="D54" s="155"/>
    </row>
    <row r="55" spans="1:4" x14ac:dyDescent="0.25">
      <c r="A55" s="155"/>
      <c r="B55" s="155"/>
      <c r="C55" s="155"/>
      <c r="D55" s="155"/>
    </row>
    <row r="56" spans="1:4" x14ac:dyDescent="0.25">
      <c r="A56" s="327" t="s">
        <v>46</v>
      </c>
      <c r="B56" s="327"/>
      <c r="C56" s="327"/>
      <c r="D56" s="155"/>
    </row>
    <row r="57" spans="1:4" ht="16.5" thickBot="1" x14ac:dyDescent="0.3">
      <c r="A57" s="155"/>
      <c r="B57" s="155"/>
      <c r="C57" s="155"/>
      <c r="D57" s="155"/>
    </row>
    <row r="58" spans="1:4" ht="16.5" thickBot="1" x14ac:dyDescent="0.3">
      <c r="A58" s="156">
        <v>2</v>
      </c>
      <c r="B58" s="157" t="s">
        <v>47</v>
      </c>
      <c r="C58" s="158"/>
      <c r="D58" s="159" t="s">
        <v>6</v>
      </c>
    </row>
    <row r="59" spans="1:4" ht="30.75" thickBot="1" x14ac:dyDescent="0.3">
      <c r="A59" s="160" t="s">
        <v>23</v>
      </c>
      <c r="B59" s="161" t="s">
        <v>24</v>
      </c>
      <c r="C59" s="158"/>
      <c r="D59" s="163">
        <f>D27</f>
        <v>220.07280749999995</v>
      </c>
    </row>
    <row r="60" spans="1:4" ht="16.5" thickBot="1" x14ac:dyDescent="0.3">
      <c r="A60" s="160" t="s">
        <v>28</v>
      </c>
      <c r="B60" s="161" t="s">
        <v>29</v>
      </c>
      <c r="C60" s="158"/>
      <c r="D60" s="163">
        <f>D41</f>
        <v>477.21216357749995</v>
      </c>
    </row>
    <row r="61" spans="1:4" ht="16.5" thickBot="1" x14ac:dyDescent="0.3">
      <c r="A61" s="160" t="s">
        <v>42</v>
      </c>
      <c r="B61" s="161" t="s">
        <v>43</v>
      </c>
      <c r="C61" s="158"/>
      <c r="D61" s="168">
        <f>D53</f>
        <v>407.82549999999998</v>
      </c>
    </row>
    <row r="62" spans="1:4" ht="16.5" thickBot="1" x14ac:dyDescent="0.3">
      <c r="A62" s="324" t="s">
        <v>20</v>
      </c>
      <c r="B62" s="325"/>
      <c r="C62" s="158"/>
      <c r="D62" s="163">
        <f>SUM(D59:D61)</f>
        <v>1105.1104710774998</v>
      </c>
    </row>
    <row r="63" spans="1:4" x14ac:dyDescent="0.25">
      <c r="A63" s="169"/>
      <c r="B63" s="155"/>
      <c r="C63" s="155"/>
      <c r="D63" s="155"/>
    </row>
    <row r="64" spans="1:4" x14ac:dyDescent="0.25">
      <c r="A64" s="155"/>
      <c r="B64" s="155"/>
      <c r="C64" s="155"/>
      <c r="D64" s="155"/>
    </row>
    <row r="65" spans="1:4" x14ac:dyDescent="0.25">
      <c r="A65" s="326" t="s">
        <v>48</v>
      </c>
      <c r="B65" s="326"/>
      <c r="C65" s="326"/>
      <c r="D65" s="155"/>
    </row>
    <row r="66" spans="1:4" ht="16.5" thickBot="1" x14ac:dyDescent="0.3">
      <c r="A66" s="155"/>
      <c r="B66" s="155"/>
      <c r="C66" s="155"/>
      <c r="D66" s="155"/>
    </row>
    <row r="67" spans="1:4" ht="16.5" thickBot="1" x14ac:dyDescent="0.3">
      <c r="A67" s="156">
        <v>3</v>
      </c>
      <c r="B67" s="157" t="s">
        <v>49</v>
      </c>
      <c r="C67" s="158" t="s">
        <v>50</v>
      </c>
      <c r="D67" s="159" t="s">
        <v>6</v>
      </c>
    </row>
    <row r="68" spans="1:4" ht="16.5" thickBot="1" x14ac:dyDescent="0.3">
      <c r="A68" s="160" t="s">
        <v>7</v>
      </c>
      <c r="B68" s="170" t="s">
        <v>51</v>
      </c>
      <c r="C68" s="28">
        <f>'CHEFE BRIG FOLGUISTA'!C68</f>
        <v>4.0000000000000002E-4</v>
      </c>
      <c r="D68" s="163">
        <f>(D17/12)*C68</f>
        <v>3.7726766999999994E-2</v>
      </c>
    </row>
    <row r="69" spans="1:4" ht="16.5" thickBot="1" x14ac:dyDescent="0.3">
      <c r="A69" s="160" t="s">
        <v>9</v>
      </c>
      <c r="B69" s="170" t="s">
        <v>52</v>
      </c>
      <c r="C69" s="158"/>
      <c r="D69" s="163">
        <f>(D68*C40)</f>
        <v>3.0181413599999997E-3</v>
      </c>
    </row>
    <row r="70" spans="1:4" ht="30.75" thickBot="1" x14ac:dyDescent="0.3">
      <c r="A70" s="160" t="s">
        <v>11</v>
      </c>
      <c r="B70" s="170" t="s">
        <v>53</v>
      </c>
      <c r="C70" s="158"/>
      <c r="D70" s="171"/>
    </row>
    <row r="71" spans="1:4" ht="16.5" thickBot="1" x14ac:dyDescent="0.3">
      <c r="A71" s="160" t="s">
        <v>13</v>
      </c>
      <c r="B71" s="170" t="s">
        <v>54</v>
      </c>
      <c r="C71" s="29">
        <f>'CHEFE BRIG FOLGUISTA'!C71</f>
        <v>4.0000000000000002E-4</v>
      </c>
      <c r="D71" s="163">
        <f>(((D17/30)/12)*7)*C71</f>
        <v>8.8029123000000001E-3</v>
      </c>
    </row>
    <row r="72" spans="1:4" ht="30.75" thickBot="1" x14ac:dyDescent="0.3">
      <c r="A72" s="160" t="s">
        <v>15</v>
      </c>
      <c r="B72" s="170" t="s">
        <v>55</v>
      </c>
      <c r="C72" s="172"/>
      <c r="D72" s="173">
        <f>(D71*C41)</f>
        <v>3.1074280419000001E-3</v>
      </c>
    </row>
    <row r="73" spans="1:4" ht="30.75" thickBot="1" x14ac:dyDescent="0.3">
      <c r="A73" s="160" t="s">
        <v>17</v>
      </c>
      <c r="B73" s="170" t="s">
        <v>56</v>
      </c>
      <c r="C73" s="158"/>
      <c r="D73" s="174">
        <f>SUM(D74:D75)</f>
        <v>43.260026159999995</v>
      </c>
    </row>
    <row r="74" spans="1:4" ht="16.5" thickBot="1" x14ac:dyDescent="0.3">
      <c r="A74" s="175"/>
      <c r="B74" s="170" t="s">
        <v>39</v>
      </c>
      <c r="C74" s="14">
        <v>0.4</v>
      </c>
      <c r="D74" s="163">
        <f>((((D17+D25+D26)*C74))*C40)</f>
        <v>43.260026159999995</v>
      </c>
    </row>
    <row r="75" spans="1:4" ht="16.5" thickBot="1" x14ac:dyDescent="0.3">
      <c r="A75" s="175"/>
      <c r="B75" s="170" t="s">
        <v>57</v>
      </c>
      <c r="C75" s="15">
        <v>0</v>
      </c>
      <c r="D75" s="163">
        <f>((((D17+D25+D26)*C75))*C40)</f>
        <v>0</v>
      </c>
    </row>
    <row r="76" spans="1:4" ht="16.5" thickBot="1" x14ac:dyDescent="0.3">
      <c r="A76" s="324" t="s">
        <v>20</v>
      </c>
      <c r="B76" s="325"/>
      <c r="C76" s="158"/>
      <c r="D76" s="163">
        <f>D68+D69+D71+D72+D73</f>
        <v>43.312681408701899</v>
      </c>
    </row>
    <row r="77" spans="1:4" x14ac:dyDescent="0.25">
      <c r="A77" s="155"/>
      <c r="B77" s="155"/>
      <c r="C77" s="155"/>
      <c r="D77" s="155"/>
    </row>
    <row r="78" spans="1:4" x14ac:dyDescent="0.25">
      <c r="A78" s="155"/>
      <c r="B78" s="155"/>
      <c r="C78" s="155"/>
      <c r="D78" s="155"/>
    </row>
    <row r="79" spans="1:4" x14ac:dyDescent="0.25">
      <c r="A79" s="326" t="s">
        <v>58</v>
      </c>
      <c r="B79" s="326"/>
      <c r="C79" s="326"/>
      <c r="D79" s="155"/>
    </row>
    <row r="80" spans="1:4" x14ac:dyDescent="0.25">
      <c r="A80" s="155"/>
      <c r="B80" s="155"/>
      <c r="C80" s="155"/>
      <c r="D80" s="155"/>
    </row>
    <row r="81" spans="1:4" x14ac:dyDescent="0.25">
      <c r="A81" s="155"/>
      <c r="B81" s="155"/>
      <c r="C81" s="155"/>
      <c r="D81" s="155"/>
    </row>
    <row r="82" spans="1:4" x14ac:dyDescent="0.25">
      <c r="A82" s="327" t="s">
        <v>59</v>
      </c>
      <c r="B82" s="327"/>
      <c r="C82" s="327"/>
      <c r="D82" s="155"/>
    </row>
    <row r="83" spans="1:4" ht="16.5" thickBot="1" x14ac:dyDescent="0.3">
      <c r="A83" s="162"/>
      <c r="B83" s="155"/>
      <c r="C83" s="155"/>
      <c r="D83" s="155"/>
    </row>
    <row r="84" spans="1:4" ht="16.5" thickBot="1" x14ac:dyDescent="0.3">
      <c r="A84" s="156" t="s">
        <v>60</v>
      </c>
      <c r="B84" s="157" t="s">
        <v>61</v>
      </c>
      <c r="C84" s="176" t="s">
        <v>62</v>
      </c>
      <c r="D84" s="159" t="s">
        <v>6</v>
      </c>
    </row>
    <row r="85" spans="1:4" ht="16.5" thickBot="1" x14ac:dyDescent="0.3">
      <c r="A85" s="160" t="s">
        <v>7</v>
      </c>
      <c r="B85" s="161" t="s">
        <v>63</v>
      </c>
      <c r="C85" s="16">
        <v>30</v>
      </c>
      <c r="D85" s="163">
        <f>(($D$17+$D$27+$D$100+$D$122+$D$53+$D$68+$D$71-$D$47)/30)*C85/12</f>
        <v>150.71293386598344</v>
      </c>
    </row>
    <row r="86" spans="1:4" ht="16.5" thickBot="1" x14ac:dyDescent="0.3">
      <c r="A86" s="160" t="s">
        <v>9</v>
      </c>
      <c r="B86" s="161" t="s">
        <v>64</v>
      </c>
      <c r="C86" s="30">
        <f>'CHEFE BRIG FOLGUISTA'!C86</f>
        <v>0.02</v>
      </c>
      <c r="D86" s="163">
        <f>(($D$17+$D$27+$D$100+$D$122+$D$53+$D$68+$D$71-$D$47)/30)*C86/12</f>
        <v>0.10047528924398896</v>
      </c>
    </row>
    <row r="87" spans="1:4" ht="16.5" thickBot="1" x14ac:dyDescent="0.3">
      <c r="A87" s="160" t="s">
        <v>11</v>
      </c>
      <c r="B87" s="161" t="s">
        <v>65</v>
      </c>
      <c r="C87" s="30">
        <f>'CHEFE BRIG FOLGUISTA'!C87</f>
        <v>0.02</v>
      </c>
      <c r="D87" s="163">
        <f>(($D$17+$D$27+$D$100+$D$122+$D$53+$D$68+$D$71-$D$47)/30)*C87/12</f>
        <v>0.10047528924398896</v>
      </c>
    </row>
    <row r="88" spans="1:4" ht="30.75" thickBot="1" x14ac:dyDescent="0.3">
      <c r="A88" s="160" t="s">
        <v>13</v>
      </c>
      <c r="B88" s="161" t="s">
        <v>66</v>
      </c>
      <c r="C88" s="30">
        <f>'CHEFE BRIG FOLGUISTA'!C88</f>
        <v>0.02</v>
      </c>
      <c r="D88" s="163">
        <f>(($D$17+$D$27+$D$100+$D$122+$D$53+$D$68+$D$71-$D$47)/30)*C88/12</f>
        <v>0.10047528924398896</v>
      </c>
    </row>
    <row r="89" spans="1:4" ht="16.5" thickBot="1" x14ac:dyDescent="0.3">
      <c r="A89" s="160" t="s">
        <v>15</v>
      </c>
      <c r="B89" s="161" t="s">
        <v>67</v>
      </c>
      <c r="C89" s="17">
        <v>0</v>
      </c>
      <c r="D89" s="163">
        <f>D100</f>
        <v>0.14069254583474997</v>
      </c>
    </row>
    <row r="90" spans="1:4" ht="30.75" thickBot="1" x14ac:dyDescent="0.3">
      <c r="A90" s="160" t="s">
        <v>17</v>
      </c>
      <c r="B90" s="161" t="s">
        <v>68</v>
      </c>
      <c r="C90" s="30">
        <f>'CHEFE BRIG FOLGUISTA'!C90</f>
        <v>-15</v>
      </c>
      <c r="D90" s="163">
        <f>(($D$17+$D$27+$D$100+$D$122+$D$53+$D$68+$D$71-$D$47)/30)*C90/12</f>
        <v>-75.356466932991722</v>
      </c>
    </row>
    <row r="91" spans="1:4" ht="16.5" thickBot="1" x14ac:dyDescent="0.3">
      <c r="A91" s="324" t="s">
        <v>40</v>
      </c>
      <c r="B91" s="325"/>
      <c r="C91" s="158"/>
      <c r="D91" s="13">
        <f>SUM(D85:D90)-D89</f>
        <v>75.657892800723729</v>
      </c>
    </row>
    <row r="92" spans="1:4" x14ac:dyDescent="0.25">
      <c r="A92" s="155"/>
      <c r="B92" s="155"/>
      <c r="C92" s="155"/>
      <c r="D92" s="155"/>
    </row>
    <row r="93" spans="1:4" x14ac:dyDescent="0.25">
      <c r="A93" s="327" t="s">
        <v>69</v>
      </c>
      <c r="B93" s="327"/>
      <c r="C93" s="327"/>
      <c r="D93" s="155"/>
    </row>
    <row r="94" spans="1:4" ht="16.5" thickBot="1" x14ac:dyDescent="0.3">
      <c r="A94" s="155"/>
      <c r="B94" s="155"/>
      <c r="C94" s="155"/>
      <c r="D94" s="155"/>
    </row>
    <row r="95" spans="1:4" ht="16.5" thickBot="1" x14ac:dyDescent="0.3">
      <c r="A95" s="156" t="s">
        <v>70</v>
      </c>
      <c r="B95" s="157" t="s">
        <v>61</v>
      </c>
      <c r="C95" s="176" t="s">
        <v>50</v>
      </c>
      <c r="D95" s="159" t="s">
        <v>6</v>
      </c>
    </row>
    <row r="96" spans="1:4" ht="30.75" thickBot="1" x14ac:dyDescent="0.3">
      <c r="A96" s="160" t="s">
        <v>7</v>
      </c>
      <c r="B96" s="161" t="s">
        <v>71</v>
      </c>
      <c r="C96" s="29">
        <f>'CHEFE BRIG FOLGUISTA'!C96</f>
        <v>6.9999999999999999E-4</v>
      </c>
      <c r="D96" s="163">
        <f>(((D17+1/3*D17)*4/12))/12*C96</f>
        <v>2.9343040999999993E-2</v>
      </c>
    </row>
    <row r="97" spans="1:4" ht="45.75" thickBot="1" x14ac:dyDescent="0.3">
      <c r="A97" s="160" t="s">
        <v>9</v>
      </c>
      <c r="B97" s="161" t="s">
        <v>72</v>
      </c>
      <c r="C97" s="18">
        <v>0</v>
      </c>
      <c r="D97" s="163">
        <f>D96*C41</f>
        <v>1.0358093472999999E-2</v>
      </c>
    </row>
    <row r="98" spans="1:4" ht="45.75" thickBot="1" x14ac:dyDescent="0.3">
      <c r="A98" s="160" t="s">
        <v>11</v>
      </c>
      <c r="B98" s="161" t="s">
        <v>73</v>
      </c>
      <c r="C98" s="18">
        <v>0</v>
      </c>
      <c r="D98" s="163">
        <f>(((D17+D17/12)*(4/12)*C96)*C41)</f>
        <v>0.10099141136174998</v>
      </c>
    </row>
    <row r="99" spans="1:4" ht="16.5" thickBot="1" x14ac:dyDescent="0.3">
      <c r="A99" s="160" t="s">
        <v>13</v>
      </c>
      <c r="B99" s="161" t="s">
        <v>74</v>
      </c>
      <c r="C99" s="18">
        <v>0</v>
      </c>
      <c r="D99" s="163">
        <v>0</v>
      </c>
    </row>
    <row r="100" spans="1:4" ht="16.5" thickBot="1" x14ac:dyDescent="0.3">
      <c r="A100" s="160"/>
      <c r="B100" s="161" t="s">
        <v>75</v>
      </c>
      <c r="C100" s="18"/>
      <c r="D100" s="163">
        <f>SUM(D96:D99)</f>
        <v>0.14069254583474997</v>
      </c>
    </row>
    <row r="101" spans="1:4" x14ac:dyDescent="0.25">
      <c r="A101" s="155"/>
      <c r="B101" s="155"/>
      <c r="C101" s="155"/>
      <c r="D101" s="155"/>
    </row>
    <row r="102" spans="1:4" x14ac:dyDescent="0.25">
      <c r="A102" s="155"/>
      <c r="B102" s="155"/>
      <c r="C102" s="155"/>
      <c r="D102" s="155"/>
    </row>
    <row r="103" spans="1:4" x14ac:dyDescent="0.25">
      <c r="A103" s="327" t="s">
        <v>76</v>
      </c>
      <c r="B103" s="327"/>
      <c r="C103" s="327"/>
      <c r="D103" s="155"/>
    </row>
    <row r="104" spans="1:4" ht="16.5" thickBot="1" x14ac:dyDescent="0.3">
      <c r="A104" s="162"/>
      <c r="B104" s="155"/>
      <c r="C104" s="155"/>
      <c r="D104" s="155"/>
    </row>
    <row r="105" spans="1:4" ht="16.5" thickBot="1" x14ac:dyDescent="0.3">
      <c r="A105" s="156" t="s">
        <v>77</v>
      </c>
      <c r="B105" s="157" t="s">
        <v>78</v>
      </c>
      <c r="C105" s="158"/>
      <c r="D105" s="159" t="s">
        <v>6</v>
      </c>
    </row>
    <row r="106" spans="1:4" ht="30.75" thickBot="1" x14ac:dyDescent="0.3">
      <c r="A106" s="160" t="s">
        <v>7</v>
      </c>
      <c r="B106" s="161" t="s">
        <v>79</v>
      </c>
      <c r="C106" s="158"/>
      <c r="D106" s="171"/>
    </row>
    <row r="107" spans="1:4" ht="16.5" thickBot="1" x14ac:dyDescent="0.3">
      <c r="A107" s="324" t="s">
        <v>20</v>
      </c>
      <c r="B107" s="325"/>
      <c r="C107" s="158"/>
      <c r="D107" s="13">
        <f>D106</f>
        <v>0</v>
      </c>
    </row>
    <row r="108" spans="1:4" x14ac:dyDescent="0.25">
      <c r="A108" s="155"/>
      <c r="B108" s="155"/>
      <c r="C108" s="155"/>
      <c r="D108" s="155"/>
    </row>
    <row r="109" spans="1:4" x14ac:dyDescent="0.25">
      <c r="A109" s="155"/>
      <c r="B109" s="155"/>
      <c r="C109" s="155"/>
      <c r="D109" s="155"/>
    </row>
    <row r="110" spans="1:4" x14ac:dyDescent="0.25">
      <c r="A110" s="327" t="s">
        <v>80</v>
      </c>
      <c r="B110" s="327"/>
      <c r="C110" s="327"/>
      <c r="D110" s="155"/>
    </row>
    <row r="111" spans="1:4" ht="16.5" thickBot="1" x14ac:dyDescent="0.3">
      <c r="A111" s="162"/>
      <c r="B111" s="155"/>
      <c r="C111" s="155"/>
      <c r="D111" s="155"/>
    </row>
    <row r="112" spans="1:4" ht="16.5" thickBot="1" x14ac:dyDescent="0.3">
      <c r="A112" s="156">
        <v>4</v>
      </c>
      <c r="B112" s="157" t="s">
        <v>81</v>
      </c>
      <c r="C112" s="158"/>
      <c r="D112" s="159" t="s">
        <v>6</v>
      </c>
    </row>
    <row r="113" spans="1:4" ht="16.5" thickBot="1" x14ac:dyDescent="0.3">
      <c r="A113" s="160" t="s">
        <v>60</v>
      </c>
      <c r="B113" s="161" t="s">
        <v>82</v>
      </c>
      <c r="C113" s="158"/>
      <c r="D113" s="168">
        <f>D91</f>
        <v>75.657892800723729</v>
      </c>
    </row>
    <row r="114" spans="1:4" ht="16.5" thickBot="1" x14ac:dyDescent="0.3">
      <c r="A114" s="160" t="s">
        <v>70</v>
      </c>
      <c r="B114" s="161" t="s">
        <v>83</v>
      </c>
      <c r="C114" s="158"/>
      <c r="D114" s="168">
        <f>D100</f>
        <v>0.14069254583474997</v>
      </c>
    </row>
    <row r="115" spans="1:4" ht="16.5" thickBot="1" x14ac:dyDescent="0.3">
      <c r="A115" s="160" t="s">
        <v>77</v>
      </c>
      <c r="B115" s="161" t="s">
        <v>84</v>
      </c>
      <c r="C115" s="158"/>
      <c r="D115" s="168">
        <f>D107</f>
        <v>0</v>
      </c>
    </row>
    <row r="116" spans="1:4" ht="16.5" thickBot="1" x14ac:dyDescent="0.3">
      <c r="A116" s="324" t="s">
        <v>20</v>
      </c>
      <c r="B116" s="325"/>
      <c r="C116" s="158"/>
      <c r="D116" s="13">
        <f>SUM(D113:D115)</f>
        <v>75.798585346558482</v>
      </c>
    </row>
    <row r="117" spans="1:4" x14ac:dyDescent="0.25">
      <c r="A117" s="155"/>
      <c r="B117" s="155"/>
      <c r="C117" s="155"/>
      <c r="D117" s="155"/>
    </row>
    <row r="118" spans="1:4" x14ac:dyDescent="0.25">
      <c r="A118" s="155"/>
      <c r="B118" s="155"/>
      <c r="C118" s="155"/>
      <c r="D118" s="155"/>
    </row>
    <row r="119" spans="1:4" x14ac:dyDescent="0.25">
      <c r="A119" s="326" t="s">
        <v>85</v>
      </c>
      <c r="B119" s="326"/>
      <c r="C119" s="326"/>
      <c r="D119" s="155"/>
    </row>
    <row r="120" spans="1:4" ht="16.5" thickBot="1" x14ac:dyDescent="0.3">
      <c r="A120" s="155"/>
      <c r="B120" s="155"/>
      <c r="C120" s="155"/>
      <c r="D120" s="155"/>
    </row>
    <row r="121" spans="1:4" ht="16.5" thickBot="1" x14ac:dyDescent="0.3">
      <c r="A121" s="156">
        <v>5</v>
      </c>
      <c r="B121" s="177" t="s">
        <v>86</v>
      </c>
      <c r="C121" s="158"/>
      <c r="D121" s="159" t="s">
        <v>6</v>
      </c>
    </row>
    <row r="122" spans="1:4" ht="16.5" thickBot="1" x14ac:dyDescent="0.3">
      <c r="A122" s="160" t="s">
        <v>7</v>
      </c>
      <c r="B122" s="161" t="s">
        <v>87</v>
      </c>
      <c r="C122" s="158"/>
      <c r="D122" s="19">
        <f>UNIFORMES!F16</f>
        <v>48.666666666666664</v>
      </c>
    </row>
    <row r="123" spans="1:4" ht="16.5" thickBot="1" x14ac:dyDescent="0.3">
      <c r="A123" s="160" t="s">
        <v>9</v>
      </c>
      <c r="B123" s="161" t="s">
        <v>88</v>
      </c>
      <c r="C123" s="158"/>
      <c r="D123" s="38"/>
    </row>
    <row r="124" spans="1:4" ht="16.5" thickBot="1" x14ac:dyDescent="0.3">
      <c r="A124" s="160" t="s">
        <v>11</v>
      </c>
      <c r="B124" s="161" t="s">
        <v>19</v>
      </c>
      <c r="C124" s="158"/>
      <c r="D124" s="27">
        <v>0</v>
      </c>
    </row>
    <row r="125" spans="1:4" ht="16.5" thickBot="1" x14ac:dyDescent="0.3">
      <c r="A125" s="324" t="s">
        <v>40</v>
      </c>
      <c r="B125" s="325"/>
      <c r="C125" s="158"/>
      <c r="D125" s="13">
        <f>SUM(D122:D124)</f>
        <v>48.666666666666664</v>
      </c>
    </row>
    <row r="126" spans="1:4" x14ac:dyDescent="0.25">
      <c r="A126" s="155"/>
      <c r="B126" s="155"/>
      <c r="C126" s="155"/>
      <c r="D126" s="155"/>
    </row>
    <row r="127" spans="1:4" x14ac:dyDescent="0.25">
      <c r="A127" s="155"/>
      <c r="B127" s="155"/>
      <c r="C127" s="155"/>
      <c r="D127" s="155"/>
    </row>
    <row r="128" spans="1:4" x14ac:dyDescent="0.25">
      <c r="A128" s="326" t="s">
        <v>89</v>
      </c>
      <c r="B128" s="326"/>
      <c r="C128" s="326"/>
      <c r="D128" s="155"/>
    </row>
    <row r="129" spans="1:4" ht="16.5" thickBot="1" x14ac:dyDescent="0.3">
      <c r="A129" s="155"/>
      <c r="B129" s="155"/>
      <c r="C129" s="155"/>
      <c r="D129" s="155"/>
    </row>
    <row r="130" spans="1:4" ht="32.25" thickBot="1" x14ac:dyDescent="0.3">
      <c r="A130" s="156">
        <v>6</v>
      </c>
      <c r="B130" s="178" t="s">
        <v>90</v>
      </c>
      <c r="C130" s="159" t="s">
        <v>30</v>
      </c>
      <c r="D130" s="159" t="s">
        <v>6</v>
      </c>
    </row>
    <row r="131" spans="1:4" ht="16.5" thickBot="1" x14ac:dyDescent="0.3">
      <c r="A131" s="160" t="s">
        <v>7</v>
      </c>
      <c r="B131" s="164" t="s">
        <v>91</v>
      </c>
      <c r="C131" s="31">
        <f>'CHEFE BRIG FOLGUISTA'!C131</f>
        <v>2.385265E-2</v>
      </c>
      <c r="D131" s="163">
        <f>(D17+D62+D76+D116+D125)*C131</f>
        <v>57.358262668059737</v>
      </c>
    </row>
    <row r="132" spans="1:4" ht="16.5" thickBot="1" x14ac:dyDescent="0.3">
      <c r="A132" s="160" t="s">
        <v>9</v>
      </c>
      <c r="B132" s="164" t="s">
        <v>92</v>
      </c>
      <c r="C132" s="31">
        <f>'CHEFE BRIG FOLGUISTA'!C132</f>
        <v>0.02</v>
      </c>
      <c r="D132" s="163">
        <f>(D17+D62+D76+D116+D125+D131)*C132</f>
        <v>49.240993543349717</v>
      </c>
    </row>
    <row r="133" spans="1:4" ht="16.5" thickBot="1" x14ac:dyDescent="0.3">
      <c r="A133" s="160" t="s">
        <v>11</v>
      </c>
      <c r="B133" s="164" t="s">
        <v>93</v>
      </c>
      <c r="C133" s="20">
        <f>1-(SUM(C134:C136))</f>
        <v>0.91349999999999998</v>
      </c>
      <c r="D133" s="179">
        <f>(D17+D62+D76+D116+D125+D131+D132)/C133</f>
        <v>2749.0866674448116</v>
      </c>
    </row>
    <row r="134" spans="1:4" ht="16.5" thickBot="1" x14ac:dyDescent="0.3">
      <c r="A134" s="160"/>
      <c r="B134" s="164" t="s">
        <v>94</v>
      </c>
      <c r="C134" s="31">
        <f>'CHEFE BRIG FOLGUISTA'!C134</f>
        <v>3.6499999999999998E-2</v>
      </c>
      <c r="D134" s="163">
        <f>D133*C134</f>
        <v>100.34166336173561</v>
      </c>
    </row>
    <row r="135" spans="1:4" ht="16.5" thickBot="1" x14ac:dyDescent="0.3">
      <c r="A135" s="160"/>
      <c r="B135" s="164" t="s">
        <v>95</v>
      </c>
      <c r="C135" s="31">
        <f>'CHEFE BRIG FOLGUISTA'!C135</f>
        <v>0</v>
      </c>
      <c r="D135" s="163">
        <f>D133*C135</f>
        <v>0</v>
      </c>
    </row>
    <row r="136" spans="1:4" ht="16.5" thickBot="1" x14ac:dyDescent="0.3">
      <c r="A136" s="160"/>
      <c r="B136" s="164" t="s">
        <v>96</v>
      </c>
      <c r="C136" s="31">
        <f>'CHEFE BRIG FOLGUISTA'!C136</f>
        <v>0.05</v>
      </c>
      <c r="D136" s="163">
        <f>D133*C136</f>
        <v>137.4543333722406</v>
      </c>
    </row>
    <row r="137" spans="1:4" ht="16.5" thickBot="1" x14ac:dyDescent="0.3">
      <c r="A137" s="324" t="s">
        <v>40</v>
      </c>
      <c r="B137" s="331"/>
      <c r="C137" s="171"/>
      <c r="D137" s="163">
        <f>D131+D132+D134+D135+D136</f>
        <v>344.39525294538566</v>
      </c>
    </row>
    <row r="138" spans="1:4" x14ac:dyDescent="0.25">
      <c r="A138" s="155"/>
      <c r="B138" s="155"/>
      <c r="C138" s="155"/>
      <c r="D138" s="155"/>
    </row>
    <row r="139" spans="1:4" x14ac:dyDescent="0.25">
      <c r="A139" s="155"/>
      <c r="B139" s="155"/>
      <c r="C139" s="155"/>
      <c r="D139" s="155"/>
    </row>
    <row r="140" spans="1:4" x14ac:dyDescent="0.25">
      <c r="A140" s="326" t="s">
        <v>97</v>
      </c>
      <c r="B140" s="326"/>
      <c r="C140" s="326"/>
      <c r="D140" s="155"/>
    </row>
    <row r="141" spans="1:4" ht="16.5" thickBot="1" x14ac:dyDescent="0.3">
      <c r="A141" s="155"/>
      <c r="B141" s="155"/>
      <c r="C141" s="155"/>
      <c r="D141" s="155"/>
    </row>
    <row r="142" spans="1:4" ht="32.25" thickBot="1" x14ac:dyDescent="0.3">
      <c r="A142" s="156"/>
      <c r="B142" s="157" t="s">
        <v>98</v>
      </c>
      <c r="C142" s="158"/>
      <c r="D142" s="159" t="s">
        <v>6</v>
      </c>
    </row>
    <row r="143" spans="1:4" ht="16.5" thickBot="1" x14ac:dyDescent="0.3">
      <c r="A143" s="181" t="s">
        <v>7</v>
      </c>
      <c r="B143" s="161" t="s">
        <v>4</v>
      </c>
      <c r="C143" s="158"/>
      <c r="D143" s="182">
        <f>D17</f>
        <v>1131.8030099999999</v>
      </c>
    </row>
    <row r="144" spans="1:4" ht="30.75" thickBot="1" x14ac:dyDescent="0.3">
      <c r="A144" s="181" t="s">
        <v>9</v>
      </c>
      <c r="B144" s="161" t="s">
        <v>21</v>
      </c>
      <c r="C144" s="158"/>
      <c r="D144" s="183">
        <f>D62</f>
        <v>1105.1104710774998</v>
      </c>
    </row>
    <row r="145" spans="1:4" ht="16.5" thickBot="1" x14ac:dyDescent="0.3">
      <c r="A145" s="181" t="s">
        <v>11</v>
      </c>
      <c r="B145" s="161" t="s">
        <v>48</v>
      </c>
      <c r="C145" s="158"/>
      <c r="D145" s="183">
        <f>D76</f>
        <v>43.312681408701899</v>
      </c>
    </row>
    <row r="146" spans="1:4" ht="30.75" thickBot="1" x14ac:dyDescent="0.3">
      <c r="A146" s="181" t="s">
        <v>13</v>
      </c>
      <c r="B146" s="161" t="s">
        <v>58</v>
      </c>
      <c r="C146" s="158"/>
      <c r="D146" s="182">
        <f>D116</f>
        <v>75.798585346558482</v>
      </c>
    </row>
    <row r="147" spans="1:4" ht="16.5" thickBot="1" x14ac:dyDescent="0.3">
      <c r="A147" s="181" t="s">
        <v>15</v>
      </c>
      <c r="B147" s="161" t="s">
        <v>85</v>
      </c>
      <c r="C147" s="158"/>
      <c r="D147" s="182">
        <f>D125</f>
        <v>48.666666666666664</v>
      </c>
    </row>
    <row r="148" spans="1:4" ht="16.5" customHeight="1" thickBot="1" x14ac:dyDescent="0.3">
      <c r="A148" s="324" t="s">
        <v>99</v>
      </c>
      <c r="B148" s="325"/>
      <c r="C148" s="158"/>
      <c r="D148" s="182">
        <f>SUM(D143:D147)</f>
        <v>2404.6914144994262</v>
      </c>
    </row>
    <row r="149" spans="1:4" ht="16.5" thickBot="1" x14ac:dyDescent="0.3">
      <c r="A149" s="181" t="s">
        <v>17</v>
      </c>
      <c r="B149" s="161" t="s">
        <v>100</v>
      </c>
      <c r="C149" s="158"/>
      <c r="D149" s="183">
        <f>D137</f>
        <v>344.39525294538566</v>
      </c>
    </row>
    <row r="150" spans="1:4" ht="16.5" customHeight="1" thickBot="1" x14ac:dyDescent="0.3">
      <c r="A150" s="321" t="s">
        <v>103</v>
      </c>
      <c r="B150" s="322"/>
      <c r="C150" s="323"/>
      <c r="D150" s="184">
        <f>SUM(D148:D149)</f>
        <v>2749.0866674448116</v>
      </c>
    </row>
    <row r="152" spans="1:4" s="36" customFormat="1" ht="35.25" customHeight="1" x14ac:dyDescent="0.2">
      <c r="A152" s="348"/>
      <c r="B152" s="348"/>
      <c r="C152" s="348"/>
      <c r="D152" s="348"/>
    </row>
  </sheetData>
  <sheetProtection algorithmName="SHA-512" hashValue="3+4Q7pNXhY7JCFiVdeD14ONCXSfVbNROOtJmlP4B6f+OgB+XBMmjf+G5jddz7inOqBv8BFXgo//MJVumZHVGWw==" saltValue="Ab5C7R7vFW8XPsoubG/OYg==" spinCount="100000" sheet="1" objects="1" scenarios="1"/>
  <mergeCells count="36">
    <mergeCell ref="A148:B148"/>
    <mergeCell ref="A150:C150"/>
    <mergeCell ref="A152:D152"/>
    <mergeCell ref="A110:C110"/>
    <mergeCell ref="A116:B116"/>
    <mergeCell ref="A119:C119"/>
    <mergeCell ref="A125:B125"/>
    <mergeCell ref="A128:C128"/>
    <mergeCell ref="A137:B137"/>
    <mergeCell ref="A79:C79"/>
    <mergeCell ref="A82:C82"/>
    <mergeCell ref="A91:B91"/>
    <mergeCell ref="A2:D3"/>
    <mergeCell ref="A140:C140"/>
    <mergeCell ref="A107:B107"/>
    <mergeCell ref="A44:C44"/>
    <mergeCell ref="A53:B53"/>
    <mergeCell ref="A56:C56"/>
    <mergeCell ref="A62:B62"/>
    <mergeCell ref="A93:C93"/>
    <mergeCell ref="A103:C103"/>
    <mergeCell ref="A41:B41"/>
    <mergeCell ref="A4:B4"/>
    <mergeCell ref="C4:D4"/>
    <mergeCell ref="A5:D5"/>
    <mergeCell ref="A76:B76"/>
    <mergeCell ref="A6:D6"/>
    <mergeCell ref="A7:D7"/>
    <mergeCell ref="A8:D8"/>
    <mergeCell ref="A17:B17"/>
    <mergeCell ref="A20:D20"/>
    <mergeCell ref="E11:M11"/>
    <mergeCell ref="A22:D22"/>
    <mergeCell ref="A27:B27"/>
    <mergeCell ref="A30:D30"/>
    <mergeCell ref="A65:C65"/>
  </mergeCells>
  <pageMargins left="0.511811024" right="0.511811024" top="0.78740157499999996" bottom="0.78740157499999996" header="0.31496062000000002" footer="0.31496062000000002"/>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O150"/>
  <sheetViews>
    <sheetView showGridLines="0" view="pageBreakPreview" topLeftCell="A79" zoomScaleNormal="100" zoomScaleSheetLayoutView="100" workbookViewId="0">
      <selection activeCell="D51" sqref="D51"/>
    </sheetView>
  </sheetViews>
  <sheetFormatPr defaultColWidth="9.140625" defaultRowHeight="15.75" x14ac:dyDescent="0.25"/>
  <cols>
    <col min="1" max="1" width="9.140625" style="21"/>
    <col min="2" max="2" width="70.85546875" style="21" customWidth="1"/>
    <col min="3" max="3" width="22.28515625" style="21" customWidth="1"/>
    <col min="4" max="4" width="26.42578125" style="21" customWidth="1"/>
    <col min="5" max="5" width="15.140625" style="21" customWidth="1"/>
    <col min="6" max="16384" width="9.140625" style="21"/>
  </cols>
  <sheetData>
    <row r="1" spans="1:15" x14ac:dyDescent="0.25">
      <c r="A1" s="185"/>
      <c r="B1" s="185"/>
      <c r="C1" s="185"/>
      <c r="D1" s="185"/>
    </row>
    <row r="2" spans="1:15" x14ac:dyDescent="0.25">
      <c r="A2" s="153" t="s">
        <v>1</v>
      </c>
      <c r="B2" s="153"/>
      <c r="C2" s="153"/>
      <c r="D2" s="153"/>
    </row>
    <row r="3" spans="1:15" ht="16.5" thickBot="1" x14ac:dyDescent="0.3">
      <c r="A3" s="154"/>
      <c r="B3" s="154"/>
      <c r="C3" s="154"/>
      <c r="D3" s="154"/>
    </row>
    <row r="4" spans="1:15" ht="16.5" thickBot="1" x14ac:dyDescent="0.3">
      <c r="A4" s="334" t="s">
        <v>2</v>
      </c>
      <c r="B4" s="353"/>
      <c r="C4" s="354" t="s">
        <v>106</v>
      </c>
      <c r="D4" s="355"/>
    </row>
    <row r="5" spans="1:15" ht="16.5" thickBot="1" x14ac:dyDescent="0.3">
      <c r="A5" s="332" t="s">
        <v>395</v>
      </c>
      <c r="B5" s="332"/>
      <c r="C5" s="332"/>
      <c r="D5" s="332"/>
    </row>
    <row r="6" spans="1:15" ht="16.5" thickBot="1" x14ac:dyDescent="0.3">
      <c r="A6" s="332" t="s">
        <v>396</v>
      </c>
      <c r="B6" s="332"/>
      <c r="C6" s="332"/>
      <c r="D6" s="332"/>
    </row>
    <row r="7" spans="1:15" ht="16.5" thickBot="1" x14ac:dyDescent="0.3">
      <c r="A7" s="338" t="s">
        <v>394</v>
      </c>
      <c r="B7" s="338"/>
      <c r="C7" s="338"/>
      <c r="D7" s="338"/>
    </row>
    <row r="8" spans="1:15" x14ac:dyDescent="0.25">
      <c r="A8" s="339" t="s">
        <v>4</v>
      </c>
      <c r="B8" s="339"/>
      <c r="C8" s="339"/>
      <c r="D8" s="339"/>
    </row>
    <row r="9" spans="1:15" ht="16.5" thickBot="1" x14ac:dyDescent="0.3">
      <c r="A9" s="155"/>
      <c r="B9" s="155"/>
      <c r="C9" s="155"/>
      <c r="D9" s="155"/>
    </row>
    <row r="10" spans="1:15" ht="16.5" thickBot="1" x14ac:dyDescent="0.3">
      <c r="A10" s="156">
        <v>1</v>
      </c>
      <c r="B10" s="157" t="s">
        <v>5</v>
      </c>
      <c r="C10" s="158"/>
      <c r="D10" s="159" t="s">
        <v>6</v>
      </c>
    </row>
    <row r="11" spans="1:15" x14ac:dyDescent="0.25">
      <c r="A11" s="160" t="s">
        <v>7</v>
      </c>
      <c r="B11" s="161" t="s">
        <v>8</v>
      </c>
      <c r="C11" s="158"/>
      <c r="D11" s="22">
        <v>3669.27</v>
      </c>
    </row>
    <row r="12" spans="1:15" ht="16.5" thickBot="1" x14ac:dyDescent="0.3">
      <c r="A12" s="160" t="s">
        <v>9</v>
      </c>
      <c r="B12" s="161" t="s">
        <v>10</v>
      </c>
      <c r="C12" s="23">
        <v>0.3</v>
      </c>
      <c r="D12" s="10">
        <f>D11*C12</f>
        <v>1100.7809999999999</v>
      </c>
    </row>
    <row r="13" spans="1:15" ht="16.5" thickBot="1" x14ac:dyDescent="0.3">
      <c r="A13" s="160" t="s">
        <v>11</v>
      </c>
      <c r="B13" s="161" t="s">
        <v>12</v>
      </c>
      <c r="C13" s="158"/>
      <c r="D13" s="10">
        <v>0</v>
      </c>
    </row>
    <row r="14" spans="1:15" ht="16.5" thickBot="1" x14ac:dyDescent="0.3">
      <c r="A14" s="160" t="s">
        <v>13</v>
      </c>
      <c r="B14" s="161" t="s">
        <v>14</v>
      </c>
      <c r="C14" s="39">
        <v>91.35</v>
      </c>
      <c r="D14" s="10">
        <f>((D11+D12)/220*0.225)*C14</f>
        <v>445.64743518749987</v>
      </c>
      <c r="E14" s="344"/>
      <c r="F14" s="345"/>
      <c r="G14" s="345"/>
      <c r="H14" s="345"/>
      <c r="I14" s="345"/>
      <c r="J14" s="345"/>
      <c r="K14" s="345"/>
      <c r="L14" s="345"/>
      <c r="M14" s="345"/>
      <c r="N14" s="345"/>
      <c r="O14" s="345"/>
    </row>
    <row r="15" spans="1:15" ht="16.5" thickBot="1" x14ac:dyDescent="0.3">
      <c r="A15" s="160" t="s">
        <v>15</v>
      </c>
      <c r="B15" s="161" t="s">
        <v>16</v>
      </c>
      <c r="C15" s="158"/>
      <c r="D15" s="10">
        <f>PRODUCT(((C14/52.5)*60)-C14)*(((D11+D12)/220*1.225))</f>
        <v>346.61467181250026</v>
      </c>
      <c r="E15" s="344"/>
      <c r="F15" s="345"/>
      <c r="G15" s="345"/>
      <c r="H15" s="345"/>
      <c r="I15" s="345"/>
      <c r="J15" s="345"/>
      <c r="K15" s="345"/>
      <c r="L15" s="345"/>
      <c r="M15" s="345"/>
    </row>
    <row r="16" spans="1:15" ht="16.5" thickBot="1" x14ac:dyDescent="0.3">
      <c r="A16" s="160" t="s">
        <v>17</v>
      </c>
      <c r="B16" s="161" t="s">
        <v>19</v>
      </c>
      <c r="C16" s="158"/>
      <c r="D16" s="22">
        <v>-346.61</v>
      </c>
    </row>
    <row r="17" spans="1:4" ht="16.5" thickBot="1" x14ac:dyDescent="0.3">
      <c r="A17" s="324" t="s">
        <v>20</v>
      </c>
      <c r="B17" s="325"/>
      <c r="C17" s="158"/>
      <c r="D17" s="11">
        <f>SUM(D11:D15)+D16</f>
        <v>5215.7031069999994</v>
      </c>
    </row>
    <row r="18" spans="1:4" x14ac:dyDescent="0.25">
      <c r="A18" s="155"/>
      <c r="B18" s="155"/>
      <c r="C18" s="155"/>
      <c r="D18" s="155"/>
    </row>
    <row r="19" spans="1:4" x14ac:dyDescent="0.25">
      <c r="A19" s="155"/>
      <c r="B19" s="155"/>
      <c r="C19" s="155"/>
      <c r="D19" s="155"/>
    </row>
    <row r="20" spans="1:4" x14ac:dyDescent="0.25">
      <c r="A20" s="326" t="s">
        <v>21</v>
      </c>
      <c r="B20" s="326"/>
      <c r="C20" s="326"/>
      <c r="D20" s="326"/>
    </row>
    <row r="21" spans="1:4" x14ac:dyDescent="0.25">
      <c r="A21" s="162"/>
      <c r="B21" s="155"/>
      <c r="C21" s="155"/>
      <c r="D21" s="155"/>
    </row>
    <row r="22" spans="1:4" x14ac:dyDescent="0.25">
      <c r="A22" s="327" t="s">
        <v>22</v>
      </c>
      <c r="B22" s="327"/>
      <c r="C22" s="327"/>
      <c r="D22" s="327"/>
    </row>
    <row r="23" spans="1:4" ht="16.5" thickBot="1" x14ac:dyDescent="0.3">
      <c r="A23" s="155"/>
      <c r="B23" s="155"/>
      <c r="C23" s="155"/>
      <c r="D23" s="155"/>
    </row>
    <row r="24" spans="1:4" ht="16.5" thickBot="1" x14ac:dyDescent="0.3">
      <c r="A24" s="156" t="s">
        <v>23</v>
      </c>
      <c r="B24" s="157" t="s">
        <v>24</v>
      </c>
      <c r="C24" s="158"/>
      <c r="D24" s="159" t="s">
        <v>6</v>
      </c>
    </row>
    <row r="25" spans="1:4" ht="16.5" thickBot="1" x14ac:dyDescent="0.3">
      <c r="A25" s="160" t="s">
        <v>7</v>
      </c>
      <c r="B25" s="161" t="s">
        <v>25</v>
      </c>
      <c r="C25" s="158"/>
      <c r="D25" s="163">
        <f>D17/12</f>
        <v>434.64192558333326</v>
      </c>
    </row>
    <row r="26" spans="1:4" ht="16.5" thickBot="1" x14ac:dyDescent="0.3">
      <c r="A26" s="160" t="s">
        <v>9</v>
      </c>
      <c r="B26" s="161" t="s">
        <v>26</v>
      </c>
      <c r="C26" s="158"/>
      <c r="D26" s="163">
        <f>(D17/12)+(D17*1/3/12)</f>
        <v>579.52256744444435</v>
      </c>
    </row>
    <row r="27" spans="1:4" ht="16.5" thickBot="1" x14ac:dyDescent="0.3">
      <c r="A27" s="324" t="s">
        <v>20</v>
      </c>
      <c r="B27" s="325"/>
      <c r="C27" s="158"/>
      <c r="D27" s="163">
        <f>SUM(D25:D26)</f>
        <v>1014.1644930277776</v>
      </c>
    </row>
    <row r="28" spans="1:4" x14ac:dyDescent="0.25">
      <c r="A28" s="155"/>
      <c r="B28" s="155"/>
      <c r="C28" s="155"/>
      <c r="D28" s="155"/>
    </row>
    <row r="29" spans="1:4" x14ac:dyDescent="0.25">
      <c r="A29" s="155"/>
      <c r="B29" s="155"/>
      <c r="C29" s="155"/>
      <c r="D29" s="155"/>
    </row>
    <row r="30" spans="1:4" ht="32.25" customHeight="1" x14ac:dyDescent="0.25">
      <c r="A30" s="330" t="s">
        <v>27</v>
      </c>
      <c r="B30" s="330"/>
      <c r="C30" s="330"/>
      <c r="D30" s="330"/>
    </row>
    <row r="31" spans="1:4" ht="16.5" thickBot="1" x14ac:dyDescent="0.3">
      <c r="A31" s="155"/>
      <c r="B31" s="155"/>
      <c r="C31" s="155"/>
      <c r="D31" s="155"/>
    </row>
    <row r="32" spans="1:4" ht="16.5" thickBot="1" x14ac:dyDescent="0.3">
      <c r="A32" s="156" t="s">
        <v>28</v>
      </c>
      <c r="B32" s="159" t="s">
        <v>29</v>
      </c>
      <c r="C32" s="159" t="s">
        <v>30</v>
      </c>
      <c r="D32" s="159" t="s">
        <v>6</v>
      </c>
    </row>
    <row r="33" spans="1:4" ht="16.5" thickBot="1" x14ac:dyDescent="0.3">
      <c r="A33" s="160" t="s">
        <v>7</v>
      </c>
      <c r="B33" s="164" t="s">
        <v>31</v>
      </c>
      <c r="C33" s="24">
        <f>'CHEFE BRIG FOLGUISTA'!C33</f>
        <v>0.2</v>
      </c>
      <c r="D33" s="163">
        <f>($D$17*C33)+($D$27*C33)</f>
        <v>1245.9735200055554</v>
      </c>
    </row>
    <row r="34" spans="1:4" ht="16.5" thickBot="1" x14ac:dyDescent="0.3">
      <c r="A34" s="160" t="s">
        <v>9</v>
      </c>
      <c r="B34" s="164" t="s">
        <v>32</v>
      </c>
      <c r="C34" s="24">
        <f>'CHEFE BRIG FOLGUISTA'!C34</f>
        <v>2.5000000000000001E-2</v>
      </c>
      <c r="D34" s="163">
        <f>($D$17*C34)+($D$27*C34)</f>
        <v>155.74669000069443</v>
      </c>
    </row>
    <row r="35" spans="1:4" ht="16.5" thickBot="1" x14ac:dyDescent="0.3">
      <c r="A35" s="160" t="s">
        <v>11</v>
      </c>
      <c r="B35" s="164" t="s">
        <v>33</v>
      </c>
      <c r="C35" s="24">
        <f>'CHEFE BRIG FOLGUISTA'!C35</f>
        <v>1.4999999999999999E-2</v>
      </c>
      <c r="D35" s="163">
        <f t="shared" ref="D35:D40" si="0">($D$17*C35)+($D$27*C35)</f>
        <v>93.448014000416649</v>
      </c>
    </row>
    <row r="36" spans="1:4" ht="16.5" thickBot="1" x14ac:dyDescent="0.3">
      <c r="A36" s="160" t="s">
        <v>13</v>
      </c>
      <c r="B36" s="164" t="s">
        <v>34</v>
      </c>
      <c r="C36" s="24">
        <f>'CHEFE BRIG FOLGUISTA'!C36</f>
        <v>1.4999999999999999E-2</v>
      </c>
      <c r="D36" s="163">
        <f t="shared" si="0"/>
        <v>93.448014000416649</v>
      </c>
    </row>
    <row r="37" spans="1:4" ht="16.5" thickBot="1" x14ac:dyDescent="0.3">
      <c r="A37" s="160" t="s">
        <v>15</v>
      </c>
      <c r="B37" s="164" t="s">
        <v>35</v>
      </c>
      <c r="C37" s="24">
        <f>'CHEFE BRIG FOLGUISTA'!C37</f>
        <v>0.01</v>
      </c>
      <c r="D37" s="163">
        <f t="shared" si="0"/>
        <v>62.298676000277773</v>
      </c>
    </row>
    <row r="38" spans="1:4" ht="16.5" thickBot="1" x14ac:dyDescent="0.3">
      <c r="A38" s="160" t="s">
        <v>17</v>
      </c>
      <c r="B38" s="164" t="s">
        <v>36</v>
      </c>
      <c r="C38" s="24">
        <f>'CHEFE BRIG FOLGUISTA'!C38</f>
        <v>6.0000000000000001E-3</v>
      </c>
      <c r="D38" s="163">
        <f t="shared" si="0"/>
        <v>37.379205600166664</v>
      </c>
    </row>
    <row r="39" spans="1:4" ht="16.5" thickBot="1" x14ac:dyDescent="0.3">
      <c r="A39" s="160" t="s">
        <v>18</v>
      </c>
      <c r="B39" s="164" t="s">
        <v>37</v>
      </c>
      <c r="C39" s="24">
        <f>'CHEFE BRIG FOLGUISTA'!C39</f>
        <v>2E-3</v>
      </c>
      <c r="D39" s="163">
        <f t="shared" si="0"/>
        <v>12.459735200055555</v>
      </c>
    </row>
    <row r="40" spans="1:4" ht="16.5" thickBot="1" x14ac:dyDescent="0.3">
      <c r="A40" s="160" t="s">
        <v>38</v>
      </c>
      <c r="B40" s="164" t="s">
        <v>39</v>
      </c>
      <c r="C40" s="24">
        <f>'CHEFE BRIG FOLGUISTA'!C40</f>
        <v>0.08</v>
      </c>
      <c r="D40" s="163">
        <f t="shared" si="0"/>
        <v>498.38940800222218</v>
      </c>
    </row>
    <row r="41" spans="1:4" ht="16.5" thickBot="1" x14ac:dyDescent="0.3">
      <c r="A41" s="324" t="s">
        <v>40</v>
      </c>
      <c r="B41" s="331"/>
      <c r="C41" s="165">
        <f>SUM(C33:C40)</f>
        <v>0.35300000000000004</v>
      </c>
      <c r="D41" s="163">
        <f>SUM(D33:D40)</f>
        <v>2199.143262809805</v>
      </c>
    </row>
    <row r="42" spans="1:4" x14ac:dyDescent="0.25">
      <c r="A42" s="155"/>
      <c r="B42" s="155"/>
      <c r="C42" s="155"/>
      <c r="D42" s="155"/>
    </row>
    <row r="43" spans="1:4" x14ac:dyDescent="0.25">
      <c r="A43" s="155"/>
      <c r="B43" s="155"/>
      <c r="C43" s="155"/>
      <c r="D43" s="155"/>
    </row>
    <row r="44" spans="1:4" x14ac:dyDescent="0.25">
      <c r="A44" s="327" t="s">
        <v>41</v>
      </c>
      <c r="B44" s="327"/>
      <c r="C44" s="327"/>
      <c r="D44" s="155"/>
    </row>
    <row r="45" spans="1:4" ht="16.5" thickBot="1" x14ac:dyDescent="0.3">
      <c r="A45" s="155"/>
      <c r="B45" s="155"/>
      <c r="C45" s="155"/>
      <c r="D45" s="155"/>
    </row>
    <row r="46" spans="1:4" ht="16.5" thickBot="1" x14ac:dyDescent="0.3">
      <c r="A46" s="156" t="s">
        <v>42</v>
      </c>
      <c r="B46" s="157" t="s">
        <v>43</v>
      </c>
      <c r="C46" s="166" t="s">
        <v>328</v>
      </c>
      <c r="D46" s="159" t="s">
        <v>6</v>
      </c>
    </row>
    <row r="47" spans="1:4" ht="39" customHeight="1" thickBot="1" x14ac:dyDescent="0.3">
      <c r="A47" s="160" t="s">
        <v>7</v>
      </c>
      <c r="B47" s="161" t="s">
        <v>44</v>
      </c>
      <c r="C47" s="26">
        <f>'CHEFE BRIG FOLGUISTA'!C47</f>
        <v>5.5</v>
      </c>
      <c r="D47" s="12">
        <f>IF((C47*2*13.05-6%*D11)&gt;0,(C47*2*13.05-6%*D11),0)</f>
        <v>0</v>
      </c>
    </row>
    <row r="48" spans="1:4" ht="40.15" customHeight="1" thickBot="1" x14ac:dyDescent="0.3">
      <c r="A48" s="160" t="s">
        <v>9</v>
      </c>
      <c r="B48" s="161" t="s">
        <v>45</v>
      </c>
      <c r="C48" s="26">
        <f>'CHEFE BRIG FOLGUISTA'!C48</f>
        <v>45.23</v>
      </c>
      <c r="D48" s="12">
        <f>IF((C48-0.3)*13.05 &lt; 0, "", (C48-0.3)*13.05)</f>
        <v>586.3365</v>
      </c>
    </row>
    <row r="49" spans="1:4" ht="16.5" thickBot="1" x14ac:dyDescent="0.3">
      <c r="A49" s="160" t="s">
        <v>11</v>
      </c>
      <c r="B49" s="161" t="s">
        <v>320</v>
      </c>
      <c r="C49" s="158"/>
      <c r="D49" s="27">
        <f>'CHEFE BRIG FOLGUISTA'!D49</f>
        <v>184.55</v>
      </c>
    </row>
    <row r="50" spans="1:4" ht="16.5" thickBot="1" x14ac:dyDescent="0.3">
      <c r="A50" s="160" t="s">
        <v>13</v>
      </c>
      <c r="B50" s="161" t="s">
        <v>321</v>
      </c>
      <c r="C50" s="158"/>
      <c r="D50" s="27">
        <f>'CHEFE BRIG FOLGUISTA'!D50</f>
        <v>12.81</v>
      </c>
    </row>
    <row r="51" spans="1:4" ht="16.5" thickBot="1" x14ac:dyDescent="0.3">
      <c r="A51" s="160" t="s">
        <v>15</v>
      </c>
      <c r="B51" s="161" t="s">
        <v>325</v>
      </c>
      <c r="C51" s="158"/>
      <c r="D51" s="27"/>
    </row>
    <row r="52" spans="1:4" ht="16.5" thickBot="1" x14ac:dyDescent="0.3">
      <c r="A52" s="160" t="s">
        <v>17</v>
      </c>
      <c r="B52" s="161" t="s">
        <v>19</v>
      </c>
      <c r="C52" s="158"/>
      <c r="D52" s="27">
        <f>'CHEFE BRIG FOLGUISTA'!D52</f>
        <v>15.02</v>
      </c>
    </row>
    <row r="53" spans="1:4" ht="16.5" thickBot="1" x14ac:dyDescent="0.3">
      <c r="A53" s="324" t="s">
        <v>20</v>
      </c>
      <c r="B53" s="325"/>
      <c r="C53" s="158"/>
      <c r="D53" s="13">
        <f>SUM(D47:D52)</f>
        <v>798.7165</v>
      </c>
    </row>
    <row r="54" spans="1:4" x14ac:dyDescent="0.25">
      <c r="A54" s="155"/>
      <c r="B54" s="155"/>
      <c r="C54" s="155"/>
      <c r="D54" s="155"/>
    </row>
    <row r="55" spans="1:4" x14ac:dyDescent="0.25">
      <c r="A55" s="155"/>
      <c r="B55" s="155"/>
      <c r="C55" s="155"/>
      <c r="D55" s="155"/>
    </row>
    <row r="56" spans="1:4" x14ac:dyDescent="0.25">
      <c r="A56" s="327" t="s">
        <v>46</v>
      </c>
      <c r="B56" s="327"/>
      <c r="C56" s="327"/>
      <c r="D56" s="155"/>
    </row>
    <row r="57" spans="1:4" ht="16.5" thickBot="1" x14ac:dyDescent="0.3">
      <c r="A57" s="155"/>
      <c r="B57" s="155"/>
      <c r="C57" s="155"/>
      <c r="D57" s="155"/>
    </row>
    <row r="58" spans="1:4" ht="16.5" thickBot="1" x14ac:dyDescent="0.3">
      <c r="A58" s="156">
        <v>2</v>
      </c>
      <c r="B58" s="157" t="s">
        <v>47</v>
      </c>
      <c r="C58" s="158"/>
      <c r="D58" s="159" t="s">
        <v>6</v>
      </c>
    </row>
    <row r="59" spans="1:4" ht="16.5" thickBot="1" x14ac:dyDescent="0.3">
      <c r="A59" s="160" t="s">
        <v>23</v>
      </c>
      <c r="B59" s="161" t="s">
        <v>24</v>
      </c>
      <c r="C59" s="158"/>
      <c r="D59" s="163">
        <f>D27</f>
        <v>1014.1644930277776</v>
      </c>
    </row>
    <row r="60" spans="1:4" ht="16.5" thickBot="1" x14ac:dyDescent="0.3">
      <c r="A60" s="160" t="s">
        <v>28</v>
      </c>
      <c r="B60" s="161" t="s">
        <v>29</v>
      </c>
      <c r="C60" s="158"/>
      <c r="D60" s="163">
        <f>D41</f>
        <v>2199.143262809805</v>
      </c>
    </row>
    <row r="61" spans="1:4" ht="16.5" thickBot="1" x14ac:dyDescent="0.3">
      <c r="A61" s="160" t="s">
        <v>42</v>
      </c>
      <c r="B61" s="161" t="s">
        <v>43</v>
      </c>
      <c r="C61" s="158"/>
      <c r="D61" s="168">
        <f>D53</f>
        <v>798.7165</v>
      </c>
    </row>
    <row r="62" spans="1:4" ht="16.5" thickBot="1" x14ac:dyDescent="0.3">
      <c r="A62" s="324" t="s">
        <v>20</v>
      </c>
      <c r="B62" s="325"/>
      <c r="C62" s="158"/>
      <c r="D62" s="163">
        <f>SUM(D59:D61)</f>
        <v>4012.0242558375826</v>
      </c>
    </row>
    <row r="63" spans="1:4" x14ac:dyDescent="0.25">
      <c r="A63" s="169"/>
      <c r="B63" s="155"/>
      <c r="C63" s="155"/>
      <c r="D63" s="155"/>
    </row>
    <row r="64" spans="1:4" x14ac:dyDescent="0.25">
      <c r="A64" s="155"/>
      <c r="B64" s="155"/>
      <c r="C64" s="155"/>
      <c r="D64" s="155"/>
    </row>
    <row r="65" spans="1:4" x14ac:dyDescent="0.25">
      <c r="A65" s="326" t="s">
        <v>48</v>
      </c>
      <c r="B65" s="326"/>
      <c r="C65" s="326"/>
      <c r="D65" s="155"/>
    </row>
    <row r="66" spans="1:4" ht="16.5" thickBot="1" x14ac:dyDescent="0.3">
      <c r="A66" s="155"/>
      <c r="B66" s="155"/>
      <c r="C66" s="155"/>
      <c r="D66" s="155"/>
    </row>
    <row r="67" spans="1:4" ht="16.5" thickBot="1" x14ac:dyDescent="0.3">
      <c r="A67" s="156">
        <v>3</v>
      </c>
      <c r="B67" s="157" t="s">
        <v>49</v>
      </c>
      <c r="C67" s="158" t="s">
        <v>50</v>
      </c>
      <c r="D67" s="159" t="s">
        <v>6</v>
      </c>
    </row>
    <row r="68" spans="1:4" ht="16.5" thickBot="1" x14ac:dyDescent="0.3">
      <c r="A68" s="160" t="s">
        <v>7</v>
      </c>
      <c r="B68" s="170" t="s">
        <v>51</v>
      </c>
      <c r="C68" s="28">
        <f>'CHEFE BRIG FOLGUISTA'!C68</f>
        <v>4.0000000000000002E-4</v>
      </c>
      <c r="D68" s="163">
        <f>(D17/12)*C68</f>
        <v>0.17385677023333332</v>
      </c>
    </row>
    <row r="69" spans="1:4" ht="16.5" thickBot="1" x14ac:dyDescent="0.3">
      <c r="A69" s="160" t="s">
        <v>9</v>
      </c>
      <c r="B69" s="170" t="s">
        <v>52</v>
      </c>
      <c r="C69" s="158"/>
      <c r="D69" s="163">
        <f>(D68*C40)</f>
        <v>1.3908541618666666E-2</v>
      </c>
    </row>
    <row r="70" spans="1:4" ht="30.75" customHeight="1" thickBot="1" x14ac:dyDescent="0.3">
      <c r="A70" s="160" t="s">
        <v>11</v>
      </c>
      <c r="B70" s="170" t="s">
        <v>53</v>
      </c>
      <c r="C70" s="158"/>
      <c r="D70" s="171"/>
    </row>
    <row r="71" spans="1:4" ht="16.5" thickBot="1" x14ac:dyDescent="0.3">
      <c r="A71" s="160" t="s">
        <v>13</v>
      </c>
      <c r="B71" s="170" t="s">
        <v>54</v>
      </c>
      <c r="C71" s="29">
        <f>'CHEFE BRIG FOLGUISTA'!C71</f>
        <v>4.0000000000000002E-4</v>
      </c>
      <c r="D71" s="163">
        <f>(((D17/30)/12)*7)*C71</f>
        <v>4.0566579721111114E-2</v>
      </c>
    </row>
    <row r="72" spans="1:4" ht="30.75" thickBot="1" x14ac:dyDescent="0.3">
      <c r="A72" s="160" t="s">
        <v>15</v>
      </c>
      <c r="B72" s="170" t="s">
        <v>55</v>
      </c>
      <c r="C72" s="172"/>
      <c r="D72" s="173">
        <f>(D71*C41)</f>
        <v>1.4320002641552225E-2</v>
      </c>
    </row>
    <row r="73" spans="1:4" ht="30.75" thickBot="1" x14ac:dyDescent="0.3">
      <c r="A73" s="160" t="s">
        <v>17</v>
      </c>
      <c r="B73" s="170" t="s">
        <v>56</v>
      </c>
      <c r="C73" s="158"/>
      <c r="D73" s="174">
        <f>SUM(D74:D75)</f>
        <v>199.3557632008889</v>
      </c>
    </row>
    <row r="74" spans="1:4" ht="16.5" thickBot="1" x14ac:dyDescent="0.3">
      <c r="A74" s="175"/>
      <c r="B74" s="170" t="s">
        <v>39</v>
      </c>
      <c r="C74" s="14">
        <v>0.4</v>
      </c>
      <c r="D74" s="163">
        <f>((((D17+D25+D26)*C74))*C40)</f>
        <v>199.3557632008889</v>
      </c>
    </row>
    <row r="75" spans="1:4" ht="16.5" thickBot="1" x14ac:dyDescent="0.3">
      <c r="A75" s="175"/>
      <c r="B75" s="170" t="s">
        <v>57</v>
      </c>
      <c r="C75" s="15">
        <v>0</v>
      </c>
      <c r="D75" s="163">
        <f>((((D17+D25+D26)*C75))*C40)</f>
        <v>0</v>
      </c>
    </row>
    <row r="76" spans="1:4" ht="16.5" thickBot="1" x14ac:dyDescent="0.3">
      <c r="A76" s="324" t="s">
        <v>20</v>
      </c>
      <c r="B76" s="325"/>
      <c r="C76" s="158"/>
      <c r="D76" s="163">
        <f>D68+D69+D71+D72+D73</f>
        <v>199.59841509510358</v>
      </c>
    </row>
    <row r="77" spans="1:4" x14ac:dyDescent="0.25">
      <c r="A77" s="155"/>
      <c r="B77" s="155"/>
      <c r="C77" s="155"/>
      <c r="D77" s="155"/>
    </row>
    <row r="78" spans="1:4" x14ac:dyDescent="0.25">
      <c r="A78" s="155"/>
      <c r="B78" s="155"/>
      <c r="C78" s="155"/>
      <c r="D78" s="155"/>
    </row>
    <row r="79" spans="1:4" x14ac:dyDescent="0.25">
      <c r="A79" s="326" t="s">
        <v>58</v>
      </c>
      <c r="B79" s="326"/>
      <c r="C79" s="326"/>
      <c r="D79" s="155"/>
    </row>
    <row r="80" spans="1:4" x14ac:dyDescent="0.25">
      <c r="A80" s="155"/>
      <c r="B80" s="155"/>
      <c r="C80" s="155"/>
      <c r="D80" s="155"/>
    </row>
    <row r="81" spans="1:4" x14ac:dyDescent="0.25">
      <c r="A81" s="155"/>
      <c r="B81" s="155"/>
      <c r="C81" s="155"/>
      <c r="D81" s="155"/>
    </row>
    <row r="82" spans="1:4" x14ac:dyDescent="0.25">
      <c r="A82" s="327" t="s">
        <v>59</v>
      </c>
      <c r="B82" s="327"/>
      <c r="C82" s="327"/>
      <c r="D82" s="155"/>
    </row>
    <row r="83" spans="1:4" ht="16.5" thickBot="1" x14ac:dyDescent="0.3">
      <c r="A83" s="162"/>
      <c r="B83" s="155"/>
      <c r="C83" s="155"/>
      <c r="D83" s="155"/>
    </row>
    <row r="84" spans="1:4" ht="16.5" thickBot="1" x14ac:dyDescent="0.3">
      <c r="A84" s="156" t="s">
        <v>60</v>
      </c>
      <c r="B84" s="157" t="s">
        <v>61</v>
      </c>
      <c r="C84" s="176" t="s">
        <v>62</v>
      </c>
      <c r="D84" s="159" t="s">
        <v>6</v>
      </c>
    </row>
    <row r="85" spans="1:4" ht="16.5" thickBot="1" x14ac:dyDescent="0.3">
      <c r="A85" s="160" t="s">
        <v>7</v>
      </c>
      <c r="B85" s="161" t="s">
        <v>63</v>
      </c>
      <c r="C85" s="16">
        <v>30</v>
      </c>
      <c r="D85" s="163">
        <f>(($D$17+$D$27+$D$100+$D$122+$D$53+$D$68+$D$71-$D$47)/30)*C85/12</f>
        <v>589.84279545039931</v>
      </c>
    </row>
    <row r="86" spans="1:4" ht="16.5" thickBot="1" x14ac:dyDescent="0.3">
      <c r="A86" s="160" t="s">
        <v>9</v>
      </c>
      <c r="B86" s="161" t="s">
        <v>64</v>
      </c>
      <c r="C86" s="30">
        <f>'CHEFE BRIG FOLGUISTA'!C86</f>
        <v>0.02</v>
      </c>
      <c r="D86" s="163">
        <f>(($D$17+$D$27+$D$100+$D$122+$D$53+$D$68+$D$71-$D$47)/30)*C86/12</f>
        <v>0.39322853030026622</v>
      </c>
    </row>
    <row r="87" spans="1:4" ht="16.5" thickBot="1" x14ac:dyDescent="0.3">
      <c r="A87" s="160" t="s">
        <v>11</v>
      </c>
      <c r="B87" s="161" t="s">
        <v>65</v>
      </c>
      <c r="C87" s="30">
        <f>'CHEFE BRIG FOLGUISTA'!C87</f>
        <v>0.02</v>
      </c>
      <c r="D87" s="163">
        <f>(($D$17+$D$27+$D$100+$D$122+$D$53+$D$68+$D$71-$D$47)/30)*C87/12</f>
        <v>0.39322853030026622</v>
      </c>
    </row>
    <row r="88" spans="1:4" ht="16.5" thickBot="1" x14ac:dyDescent="0.3">
      <c r="A88" s="160" t="s">
        <v>13</v>
      </c>
      <c r="B88" s="161" t="s">
        <v>66</v>
      </c>
      <c r="C88" s="30">
        <f>'CHEFE BRIG FOLGUISTA'!C88</f>
        <v>0.02</v>
      </c>
      <c r="D88" s="163">
        <f>(($D$17+$D$27+$D$100+$D$122+$D$53+$D$68+$D$71-$D$47)/30)*C88/12</f>
        <v>0.39322853030026622</v>
      </c>
    </row>
    <row r="89" spans="1:4" ht="16.5" thickBot="1" x14ac:dyDescent="0.3">
      <c r="A89" s="160" t="s">
        <v>15</v>
      </c>
      <c r="B89" s="161" t="s">
        <v>67</v>
      </c>
      <c r="C89" s="17">
        <v>0</v>
      </c>
      <c r="D89" s="163">
        <f>D100</f>
        <v>0.64835536039265829</v>
      </c>
    </row>
    <row r="90" spans="1:4" ht="16.5" thickBot="1" x14ac:dyDescent="0.3">
      <c r="A90" s="160" t="s">
        <v>17</v>
      </c>
      <c r="B90" s="161" t="s">
        <v>68</v>
      </c>
      <c r="C90" s="30">
        <f>'CHEFE BRIG FOLGUISTA'!C90</f>
        <v>-15</v>
      </c>
      <c r="D90" s="163">
        <f>(($D$17+$D$27+$D$100+$D$122+$D$53+$D$68+$D$71-$D$47)/30)*C90/12</f>
        <v>-294.92139772519965</v>
      </c>
    </row>
    <row r="91" spans="1:4" ht="16.5" thickBot="1" x14ac:dyDescent="0.3">
      <c r="A91" s="324" t="s">
        <v>40</v>
      </c>
      <c r="B91" s="325"/>
      <c r="C91" s="158"/>
      <c r="D91" s="13">
        <f>SUM(D85:D90)-D89</f>
        <v>296.10108331610036</v>
      </c>
    </row>
    <row r="92" spans="1:4" x14ac:dyDescent="0.25">
      <c r="A92" s="155"/>
      <c r="B92" s="155"/>
      <c r="C92" s="155"/>
      <c r="D92" s="155"/>
    </row>
    <row r="93" spans="1:4" x14ac:dyDescent="0.25">
      <c r="A93" s="327" t="s">
        <v>69</v>
      </c>
      <c r="B93" s="327"/>
      <c r="C93" s="327"/>
      <c r="D93" s="155"/>
    </row>
    <row r="94" spans="1:4" ht="16.5" thickBot="1" x14ac:dyDescent="0.3">
      <c r="A94" s="155"/>
      <c r="B94" s="155"/>
      <c r="C94" s="155"/>
      <c r="D94" s="155"/>
    </row>
    <row r="95" spans="1:4" ht="16.5" thickBot="1" x14ac:dyDescent="0.3">
      <c r="A95" s="156" t="s">
        <v>70</v>
      </c>
      <c r="B95" s="157" t="s">
        <v>61</v>
      </c>
      <c r="C95" s="176" t="s">
        <v>50</v>
      </c>
      <c r="D95" s="159" t="s">
        <v>6</v>
      </c>
    </row>
    <row r="96" spans="1:4" ht="16.5" thickBot="1" x14ac:dyDescent="0.3">
      <c r="A96" s="160" t="s">
        <v>7</v>
      </c>
      <c r="B96" s="161" t="s">
        <v>71</v>
      </c>
      <c r="C96" s="29">
        <f>'CHEFE BRIG FOLGUISTA'!C96</f>
        <v>6.9999999999999999E-4</v>
      </c>
      <c r="D96" s="163">
        <f>(((D17+1/3*D17)*4/12))/12*C96</f>
        <v>0.13522193240370367</v>
      </c>
    </row>
    <row r="97" spans="1:4" ht="30.75" thickBot="1" x14ac:dyDescent="0.3">
      <c r="A97" s="160" t="s">
        <v>9</v>
      </c>
      <c r="B97" s="161" t="s">
        <v>72</v>
      </c>
      <c r="C97" s="18">
        <v>0</v>
      </c>
      <c r="D97" s="163">
        <f>D96*C41</f>
        <v>4.7733342138507398E-2</v>
      </c>
    </row>
    <row r="98" spans="1:4" ht="30.75" thickBot="1" x14ac:dyDescent="0.3">
      <c r="A98" s="160" t="s">
        <v>11</v>
      </c>
      <c r="B98" s="161" t="s">
        <v>73</v>
      </c>
      <c r="C98" s="18">
        <v>0</v>
      </c>
      <c r="D98" s="163">
        <f>(((D17+D17/12)*(4/12)*C96)*C41)</f>
        <v>0.46540008585044723</v>
      </c>
    </row>
    <row r="99" spans="1:4" ht="16.5" thickBot="1" x14ac:dyDescent="0.3">
      <c r="A99" s="160" t="s">
        <v>13</v>
      </c>
      <c r="B99" s="161" t="s">
        <v>74</v>
      </c>
      <c r="C99" s="18">
        <v>0</v>
      </c>
      <c r="D99" s="163">
        <v>0</v>
      </c>
    </row>
    <row r="100" spans="1:4" ht="16.5" thickBot="1" x14ac:dyDescent="0.3">
      <c r="A100" s="160"/>
      <c r="B100" s="161" t="s">
        <v>75</v>
      </c>
      <c r="C100" s="18"/>
      <c r="D100" s="163">
        <f>SUM(D96:D99)</f>
        <v>0.64835536039265829</v>
      </c>
    </row>
    <row r="101" spans="1:4" x14ac:dyDescent="0.25">
      <c r="A101" s="155"/>
      <c r="B101" s="155"/>
      <c r="C101" s="155"/>
      <c r="D101" s="155"/>
    </row>
    <row r="102" spans="1:4" x14ac:dyDescent="0.25">
      <c r="A102" s="155"/>
      <c r="B102" s="155"/>
      <c r="C102" s="155"/>
      <c r="D102" s="155"/>
    </row>
    <row r="103" spans="1:4" x14ac:dyDescent="0.25">
      <c r="A103" s="327" t="s">
        <v>76</v>
      </c>
      <c r="B103" s="327"/>
      <c r="C103" s="327"/>
      <c r="D103" s="155"/>
    </row>
    <row r="104" spans="1:4" ht="16.5" thickBot="1" x14ac:dyDescent="0.3">
      <c r="A104" s="162"/>
      <c r="B104" s="155"/>
      <c r="C104" s="155"/>
      <c r="D104" s="155"/>
    </row>
    <row r="105" spans="1:4" ht="16.5" thickBot="1" x14ac:dyDescent="0.3">
      <c r="A105" s="156" t="s">
        <v>77</v>
      </c>
      <c r="B105" s="157" t="s">
        <v>78</v>
      </c>
      <c r="C105" s="158"/>
      <c r="D105" s="159" t="s">
        <v>6</v>
      </c>
    </row>
    <row r="106" spans="1:4" ht="16.5" thickBot="1" x14ac:dyDescent="0.3">
      <c r="A106" s="160" t="s">
        <v>7</v>
      </c>
      <c r="B106" s="161" t="s">
        <v>79</v>
      </c>
      <c r="C106" s="158"/>
      <c r="D106" s="171"/>
    </row>
    <row r="107" spans="1:4" ht="16.5" thickBot="1" x14ac:dyDescent="0.3">
      <c r="A107" s="324" t="s">
        <v>20</v>
      </c>
      <c r="B107" s="325"/>
      <c r="C107" s="158"/>
      <c r="D107" s="13">
        <f>D106</f>
        <v>0</v>
      </c>
    </row>
    <row r="108" spans="1:4" x14ac:dyDescent="0.25">
      <c r="A108" s="155"/>
      <c r="B108" s="155"/>
      <c r="C108" s="155"/>
      <c r="D108" s="155"/>
    </row>
    <row r="109" spans="1:4" x14ac:dyDescent="0.25">
      <c r="A109" s="155"/>
      <c r="B109" s="155"/>
      <c r="C109" s="155"/>
      <c r="D109" s="155"/>
    </row>
    <row r="110" spans="1:4" x14ac:dyDescent="0.25">
      <c r="A110" s="327" t="s">
        <v>80</v>
      </c>
      <c r="B110" s="327"/>
      <c r="C110" s="327"/>
      <c r="D110" s="155"/>
    </row>
    <row r="111" spans="1:4" ht="16.5" thickBot="1" x14ac:dyDescent="0.3">
      <c r="A111" s="162"/>
      <c r="B111" s="155"/>
      <c r="C111" s="155"/>
      <c r="D111" s="155"/>
    </row>
    <row r="112" spans="1:4" ht="16.5" thickBot="1" x14ac:dyDescent="0.3">
      <c r="A112" s="156">
        <v>4</v>
      </c>
      <c r="B112" s="157" t="s">
        <v>81</v>
      </c>
      <c r="C112" s="158"/>
      <c r="D112" s="159" t="s">
        <v>6</v>
      </c>
    </row>
    <row r="113" spans="1:4" ht="16.5" thickBot="1" x14ac:dyDescent="0.3">
      <c r="A113" s="160" t="s">
        <v>60</v>
      </c>
      <c r="B113" s="161" t="s">
        <v>82</v>
      </c>
      <c r="C113" s="158"/>
      <c r="D113" s="168">
        <f>D91</f>
        <v>296.10108331610036</v>
      </c>
    </row>
    <row r="114" spans="1:4" ht="16.5" thickBot="1" x14ac:dyDescent="0.3">
      <c r="A114" s="160" t="s">
        <v>70</v>
      </c>
      <c r="B114" s="161" t="s">
        <v>83</v>
      </c>
      <c r="C114" s="158"/>
      <c r="D114" s="168">
        <f>D100</f>
        <v>0.64835536039265829</v>
      </c>
    </row>
    <row r="115" spans="1:4" ht="16.5" thickBot="1" x14ac:dyDescent="0.3">
      <c r="A115" s="160" t="s">
        <v>77</v>
      </c>
      <c r="B115" s="161" t="s">
        <v>84</v>
      </c>
      <c r="C115" s="158"/>
      <c r="D115" s="168">
        <f>D107</f>
        <v>0</v>
      </c>
    </row>
    <row r="116" spans="1:4" ht="16.5" thickBot="1" x14ac:dyDescent="0.3">
      <c r="A116" s="324" t="s">
        <v>20</v>
      </c>
      <c r="B116" s="325"/>
      <c r="C116" s="158"/>
      <c r="D116" s="13">
        <f>SUM(D113:D115)</f>
        <v>296.74943867649301</v>
      </c>
    </row>
    <row r="117" spans="1:4" x14ac:dyDescent="0.25">
      <c r="A117" s="155"/>
      <c r="B117" s="155"/>
      <c r="C117" s="155"/>
      <c r="D117" s="155"/>
    </row>
    <row r="118" spans="1:4" x14ac:dyDescent="0.25">
      <c r="A118" s="155"/>
      <c r="B118" s="155"/>
      <c r="C118" s="155"/>
      <c r="D118" s="155"/>
    </row>
    <row r="119" spans="1:4" x14ac:dyDescent="0.25">
      <c r="A119" s="326" t="s">
        <v>85</v>
      </c>
      <c r="B119" s="326"/>
      <c r="C119" s="326"/>
      <c r="D119" s="155"/>
    </row>
    <row r="120" spans="1:4" ht="16.5" thickBot="1" x14ac:dyDescent="0.3">
      <c r="A120" s="155"/>
      <c r="B120" s="155"/>
      <c r="C120" s="155"/>
      <c r="D120" s="155"/>
    </row>
    <row r="121" spans="1:4" ht="16.5" thickBot="1" x14ac:dyDescent="0.3">
      <c r="A121" s="156">
        <v>5</v>
      </c>
      <c r="B121" s="177" t="s">
        <v>86</v>
      </c>
      <c r="C121" s="158"/>
      <c r="D121" s="159" t="s">
        <v>6</v>
      </c>
    </row>
    <row r="122" spans="1:4" x14ac:dyDescent="0.25">
      <c r="A122" s="160" t="s">
        <v>7</v>
      </c>
      <c r="B122" s="161" t="s">
        <v>87</v>
      </c>
      <c r="C122" s="158"/>
      <c r="D122" s="19">
        <f>UNIFORMES!F16</f>
        <v>48.666666666666664</v>
      </c>
    </row>
    <row r="123" spans="1:4" ht="16.5" thickBot="1" x14ac:dyDescent="0.3">
      <c r="A123" s="160" t="s">
        <v>9</v>
      </c>
      <c r="B123" s="161" t="s">
        <v>88</v>
      </c>
      <c r="C123" s="158"/>
      <c r="D123" s="38"/>
    </row>
    <row r="124" spans="1:4" x14ac:dyDescent="0.25">
      <c r="A124" s="160" t="s">
        <v>11</v>
      </c>
      <c r="B124" s="161" t="s">
        <v>19</v>
      </c>
      <c r="C124" s="158"/>
      <c r="D124" s="27">
        <v>0</v>
      </c>
    </row>
    <row r="125" spans="1:4" ht="16.5" thickBot="1" x14ac:dyDescent="0.3">
      <c r="A125" s="324" t="s">
        <v>40</v>
      </c>
      <c r="B125" s="325"/>
      <c r="C125" s="158"/>
      <c r="D125" s="13">
        <f>SUM(D122:D124)</f>
        <v>48.666666666666664</v>
      </c>
    </row>
    <row r="126" spans="1:4" x14ac:dyDescent="0.25">
      <c r="A126" s="155"/>
      <c r="B126" s="155"/>
      <c r="C126" s="155"/>
      <c r="D126" s="155"/>
    </row>
    <row r="127" spans="1:4" x14ac:dyDescent="0.25">
      <c r="A127" s="155"/>
      <c r="B127" s="155"/>
      <c r="C127" s="155"/>
      <c r="D127" s="155"/>
    </row>
    <row r="128" spans="1:4" x14ac:dyDescent="0.25">
      <c r="A128" s="326" t="s">
        <v>89</v>
      </c>
      <c r="B128" s="326"/>
      <c r="C128" s="326"/>
      <c r="D128" s="155"/>
    </row>
    <row r="129" spans="1:4" ht="16.5" thickBot="1" x14ac:dyDescent="0.3">
      <c r="A129" s="155"/>
      <c r="B129" s="155"/>
      <c r="C129" s="155"/>
      <c r="D129" s="155"/>
    </row>
    <row r="130" spans="1:4" ht="16.5" thickBot="1" x14ac:dyDescent="0.3">
      <c r="A130" s="156">
        <v>6</v>
      </c>
      <c r="B130" s="178" t="s">
        <v>90</v>
      </c>
      <c r="C130" s="159" t="s">
        <v>30</v>
      </c>
      <c r="D130" s="159" t="s">
        <v>6</v>
      </c>
    </row>
    <row r="131" spans="1:4" ht="16.5" thickBot="1" x14ac:dyDescent="0.3">
      <c r="A131" s="160" t="s">
        <v>7</v>
      </c>
      <c r="B131" s="164" t="s">
        <v>91</v>
      </c>
      <c r="C131" s="31">
        <f>'CHEFE BRIG FOLGUISTA'!C131</f>
        <v>2.385265E-2</v>
      </c>
      <c r="D131" s="163">
        <f>(D17+D62+D76+D116+D125)*C131</f>
        <v>233.10579168211962</v>
      </c>
    </row>
    <row r="132" spans="1:4" ht="16.5" thickBot="1" x14ac:dyDescent="0.3">
      <c r="A132" s="160" t="s">
        <v>9</v>
      </c>
      <c r="B132" s="164" t="s">
        <v>92</v>
      </c>
      <c r="C132" s="31">
        <f>'CHEFE BRIG FOLGUISTA'!C132</f>
        <v>0.02</v>
      </c>
      <c r="D132" s="163">
        <f>(D17+D62+D76+D116+D125+D131)*C132</f>
        <v>200.11695349915931</v>
      </c>
    </row>
    <row r="133" spans="1:4" ht="16.5" thickBot="1" x14ac:dyDescent="0.3">
      <c r="A133" s="160" t="s">
        <v>11</v>
      </c>
      <c r="B133" s="164" t="s">
        <v>93</v>
      </c>
      <c r="C133" s="20">
        <f>1-(SUM(C134:C136))</f>
        <v>0.91349999999999998</v>
      </c>
      <c r="D133" s="179">
        <f>(D17+D62+D76+D116+D125+D131+D132)/C133</f>
        <v>11172.375072202654</v>
      </c>
    </row>
    <row r="134" spans="1:4" ht="16.5" thickBot="1" x14ac:dyDescent="0.3">
      <c r="A134" s="160"/>
      <c r="B134" s="164" t="s">
        <v>94</v>
      </c>
      <c r="C134" s="31">
        <f>'CHEFE BRIG FOLGUISTA'!C134</f>
        <v>3.6499999999999998E-2</v>
      </c>
      <c r="D134" s="163">
        <f>D133*C134</f>
        <v>407.79169013539683</v>
      </c>
    </row>
    <row r="135" spans="1:4" ht="16.5" thickBot="1" x14ac:dyDescent="0.3">
      <c r="A135" s="160"/>
      <c r="B135" s="164" t="s">
        <v>95</v>
      </c>
      <c r="C135" s="31">
        <f>'CHEFE BRIG FOLGUISTA'!C135</f>
        <v>0</v>
      </c>
      <c r="D135" s="163">
        <f>D133*C135</f>
        <v>0</v>
      </c>
    </row>
    <row r="136" spans="1:4" ht="16.5" thickBot="1" x14ac:dyDescent="0.3">
      <c r="A136" s="160"/>
      <c r="B136" s="164" t="s">
        <v>96</v>
      </c>
      <c r="C136" s="31">
        <f>'CHEFE BRIG FOLGUISTA'!C136</f>
        <v>0.05</v>
      </c>
      <c r="D136" s="163">
        <f>D133*C136</f>
        <v>558.61875361013279</v>
      </c>
    </row>
    <row r="137" spans="1:4" ht="16.5" thickBot="1" x14ac:dyDescent="0.3">
      <c r="A137" s="324" t="s">
        <v>40</v>
      </c>
      <c r="B137" s="331"/>
      <c r="C137" s="171"/>
      <c r="D137" s="163">
        <f>D131+D132+D134+D135+D136</f>
        <v>1399.6331889268085</v>
      </c>
    </row>
    <row r="138" spans="1:4" x14ac:dyDescent="0.25">
      <c r="A138" s="155"/>
      <c r="B138" s="155"/>
      <c r="C138" s="155"/>
      <c r="D138" s="155"/>
    </row>
    <row r="139" spans="1:4" x14ac:dyDescent="0.25">
      <c r="A139" s="155"/>
      <c r="B139" s="155"/>
      <c r="C139" s="155"/>
      <c r="D139" s="155"/>
    </row>
    <row r="140" spans="1:4" x14ac:dyDescent="0.25">
      <c r="A140" s="326" t="s">
        <v>97</v>
      </c>
      <c r="B140" s="326"/>
      <c r="C140" s="326"/>
      <c r="D140" s="155"/>
    </row>
    <row r="141" spans="1:4" ht="16.5" thickBot="1" x14ac:dyDescent="0.3">
      <c r="A141" s="155"/>
      <c r="B141" s="155"/>
      <c r="C141" s="155"/>
      <c r="D141" s="155"/>
    </row>
    <row r="142" spans="1:4" ht="32.25" thickBot="1" x14ac:dyDescent="0.3">
      <c r="A142" s="156"/>
      <c r="B142" s="157" t="s">
        <v>98</v>
      </c>
      <c r="C142" s="158"/>
      <c r="D142" s="159" t="s">
        <v>6</v>
      </c>
    </row>
    <row r="143" spans="1:4" ht="16.5" thickBot="1" x14ac:dyDescent="0.3">
      <c r="A143" s="181" t="s">
        <v>7</v>
      </c>
      <c r="B143" s="161" t="s">
        <v>4</v>
      </c>
      <c r="C143" s="158"/>
      <c r="D143" s="182">
        <f>D17</f>
        <v>5215.7031069999994</v>
      </c>
    </row>
    <row r="144" spans="1:4" ht="16.5" thickBot="1" x14ac:dyDescent="0.3">
      <c r="A144" s="181" t="s">
        <v>9</v>
      </c>
      <c r="B144" s="161" t="s">
        <v>21</v>
      </c>
      <c r="C144" s="158"/>
      <c r="D144" s="183">
        <f>D62</f>
        <v>4012.0242558375826</v>
      </c>
    </row>
    <row r="145" spans="1:4" ht="16.5" thickBot="1" x14ac:dyDescent="0.3">
      <c r="A145" s="181" t="s">
        <v>11</v>
      </c>
      <c r="B145" s="161" t="s">
        <v>48</v>
      </c>
      <c r="C145" s="158"/>
      <c r="D145" s="183">
        <f>D76</f>
        <v>199.59841509510358</v>
      </c>
    </row>
    <row r="146" spans="1:4" ht="16.5" thickBot="1" x14ac:dyDescent="0.3">
      <c r="A146" s="181" t="s">
        <v>13</v>
      </c>
      <c r="B146" s="161" t="s">
        <v>58</v>
      </c>
      <c r="C146" s="158"/>
      <c r="D146" s="182">
        <f>D116</f>
        <v>296.74943867649301</v>
      </c>
    </row>
    <row r="147" spans="1:4" ht="16.5" thickBot="1" x14ac:dyDescent="0.3">
      <c r="A147" s="181" t="s">
        <v>15</v>
      </c>
      <c r="B147" s="161" t="s">
        <v>85</v>
      </c>
      <c r="C147" s="158"/>
      <c r="D147" s="182">
        <f>D125</f>
        <v>48.666666666666664</v>
      </c>
    </row>
    <row r="148" spans="1:4" ht="16.5" customHeight="1" thickBot="1" x14ac:dyDescent="0.3">
      <c r="A148" s="324" t="s">
        <v>99</v>
      </c>
      <c r="B148" s="325"/>
      <c r="C148" s="158"/>
      <c r="D148" s="182">
        <f>SUM(D143:D147)</f>
        <v>9772.7418832758467</v>
      </c>
    </row>
    <row r="149" spans="1:4" x14ac:dyDescent="0.25">
      <c r="A149" s="181" t="s">
        <v>17</v>
      </c>
      <c r="B149" s="161" t="s">
        <v>100</v>
      </c>
      <c r="C149" s="158"/>
      <c r="D149" s="183">
        <f>D137</f>
        <v>1399.6331889268085</v>
      </c>
    </row>
    <row r="150" spans="1:4" ht="16.5" customHeight="1" x14ac:dyDescent="0.25">
      <c r="A150" s="321" t="s">
        <v>101</v>
      </c>
      <c r="B150" s="322"/>
      <c r="C150" s="323"/>
      <c r="D150" s="184">
        <f>SUM(D148:D149)</f>
        <v>11172.375072202656</v>
      </c>
    </row>
  </sheetData>
  <sheetProtection algorithmName="SHA-512" hashValue="QkaSa86NTPIVbLJuuQWHaX3wpE/DYxvUOBSKEQTwibamOgW6Ty0c4rsFUmgrhnpnmgNBDZw7MbHTUl+TUcpNaA==" saltValue="8MDVISlpsuwwqfogFx4CBA==" spinCount="100000" sheet="1" objects="1" scenarios="1"/>
  <mergeCells count="35">
    <mergeCell ref="A93:C93"/>
    <mergeCell ref="A79:C79"/>
    <mergeCell ref="A82:C82"/>
    <mergeCell ref="A27:B27"/>
    <mergeCell ref="A30:D30"/>
    <mergeCell ref="A41:B41"/>
    <mergeCell ref="A76:B76"/>
    <mergeCell ref="A56:C56"/>
    <mergeCell ref="A62:B62"/>
    <mergeCell ref="A20:D20"/>
    <mergeCell ref="A22:D22"/>
    <mergeCell ref="A53:B53"/>
    <mergeCell ref="A4:B4"/>
    <mergeCell ref="C4:D4"/>
    <mergeCell ref="A5:D5"/>
    <mergeCell ref="A6:D6"/>
    <mergeCell ref="A7:D7"/>
    <mergeCell ref="A8:D8"/>
    <mergeCell ref="A17:B17"/>
    <mergeCell ref="E14:O14"/>
    <mergeCell ref="E15:M15"/>
    <mergeCell ref="A150:C150"/>
    <mergeCell ref="A65:C65"/>
    <mergeCell ref="A137:B137"/>
    <mergeCell ref="A140:C140"/>
    <mergeCell ref="A148:B148"/>
    <mergeCell ref="A91:B91"/>
    <mergeCell ref="A103:C103"/>
    <mergeCell ref="A107:B107"/>
    <mergeCell ref="A110:C110"/>
    <mergeCell ref="A119:C119"/>
    <mergeCell ref="A128:C128"/>
    <mergeCell ref="A44:C44"/>
    <mergeCell ref="A125:B125"/>
    <mergeCell ref="A116:B116"/>
  </mergeCells>
  <pageMargins left="0.23622047244094491" right="0.23622047244094491" top="0.74803149606299213" bottom="0.74803149606299213" header="0.31496062992125984" footer="0.31496062992125984"/>
  <pageSetup paperSize="9" scale="4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CC6F4-DDC8-427E-BF8F-5CF01B67E816}">
  <sheetPr>
    <tabColor theme="7"/>
  </sheetPr>
  <dimension ref="A1:O150"/>
  <sheetViews>
    <sheetView showGridLines="0" view="pageBreakPreview" topLeftCell="A133" zoomScaleNormal="100" zoomScaleSheetLayoutView="100" workbookViewId="0">
      <selection activeCell="C91" sqref="C91"/>
    </sheetView>
  </sheetViews>
  <sheetFormatPr defaultColWidth="9.140625" defaultRowHeight="15.75" x14ac:dyDescent="0.25"/>
  <cols>
    <col min="1" max="1" width="7.28515625" style="21" customWidth="1"/>
    <col min="2" max="2" width="56" style="21" customWidth="1"/>
    <col min="3" max="3" width="15.7109375" style="21" bestFit="1" customWidth="1"/>
    <col min="4" max="4" width="14.5703125" style="21" customWidth="1"/>
    <col min="5" max="5" width="15.140625" style="21" customWidth="1"/>
    <col min="6" max="16384" width="9.140625" style="21"/>
  </cols>
  <sheetData>
    <row r="1" spans="1:15" x14ac:dyDescent="0.25">
      <c r="A1" s="185"/>
      <c r="B1" s="185"/>
      <c r="C1" s="185"/>
      <c r="D1" s="185"/>
    </row>
    <row r="2" spans="1:15" x14ac:dyDescent="0.25">
      <c r="A2" s="349" t="s">
        <v>1</v>
      </c>
      <c r="B2" s="349"/>
      <c r="C2" s="349"/>
      <c r="D2" s="349"/>
    </row>
    <row r="3" spans="1:15" ht="16.5" thickBot="1" x14ac:dyDescent="0.3">
      <c r="A3" s="358"/>
      <c r="B3" s="358"/>
      <c r="C3" s="358"/>
      <c r="D3" s="358"/>
    </row>
    <row r="4" spans="1:15" ht="46.9" customHeight="1" thickBot="1" x14ac:dyDescent="0.3">
      <c r="A4" s="334" t="s">
        <v>2</v>
      </c>
      <c r="B4" s="353"/>
      <c r="C4" s="359" t="s">
        <v>107</v>
      </c>
      <c r="D4" s="360"/>
    </row>
    <row r="5" spans="1:15" ht="16.5" thickBot="1" x14ac:dyDescent="0.3">
      <c r="A5" s="332" t="s">
        <v>395</v>
      </c>
      <c r="B5" s="332"/>
      <c r="C5" s="332"/>
      <c r="D5" s="332"/>
    </row>
    <row r="6" spans="1:15" ht="16.5" thickBot="1" x14ac:dyDescent="0.3">
      <c r="A6" s="332" t="s">
        <v>396</v>
      </c>
      <c r="B6" s="332"/>
      <c r="C6" s="332"/>
      <c r="D6" s="332"/>
    </row>
    <row r="7" spans="1:15" ht="16.5" thickBot="1" x14ac:dyDescent="0.3">
      <c r="A7" s="338" t="s">
        <v>394</v>
      </c>
      <c r="B7" s="338"/>
      <c r="C7" s="338"/>
      <c r="D7" s="338"/>
    </row>
    <row r="8" spans="1:15" x14ac:dyDescent="0.25">
      <c r="A8" s="339" t="s">
        <v>4</v>
      </c>
      <c r="B8" s="339"/>
      <c r="C8" s="339"/>
      <c r="D8" s="339"/>
    </row>
    <row r="9" spans="1:15" ht="16.5" thickBot="1" x14ac:dyDescent="0.3">
      <c r="A9" s="155"/>
      <c r="B9" s="155"/>
      <c r="C9" s="155"/>
      <c r="D9" s="155"/>
    </row>
    <row r="10" spans="1:15" ht="16.5" thickBot="1" x14ac:dyDescent="0.3">
      <c r="A10" s="156">
        <v>1</v>
      </c>
      <c r="B10" s="157" t="s">
        <v>5</v>
      </c>
      <c r="C10" s="158"/>
      <c r="D10" s="159" t="s">
        <v>6</v>
      </c>
    </row>
    <row r="11" spans="1:15" ht="16.5" thickBot="1" x14ac:dyDescent="0.3">
      <c r="A11" s="160" t="s">
        <v>7</v>
      </c>
      <c r="B11" s="161" t="s">
        <v>8</v>
      </c>
      <c r="C11" s="158"/>
      <c r="D11" s="10">
        <f>'BP 12X36 NOTURNO'!D11/220*12*4.35</f>
        <v>870.6176999999999</v>
      </c>
      <c r="E11" s="361"/>
      <c r="F11" s="362"/>
      <c r="G11" s="362"/>
      <c r="H11" s="362"/>
      <c r="I11" s="362"/>
      <c r="J11" s="362"/>
      <c r="K11" s="362"/>
      <c r="L11" s="362"/>
      <c r="M11" s="362"/>
      <c r="N11" s="362"/>
    </row>
    <row r="12" spans="1:15" ht="16.5" thickBot="1" x14ac:dyDescent="0.3">
      <c r="A12" s="160" t="s">
        <v>9</v>
      </c>
      <c r="B12" s="161" t="s">
        <v>10</v>
      </c>
      <c r="C12" s="29">
        <v>0.3</v>
      </c>
      <c r="D12" s="10">
        <f>D11*C12</f>
        <v>261.18530999999996</v>
      </c>
    </row>
    <row r="13" spans="1:15" ht="16.5" thickBot="1" x14ac:dyDescent="0.3">
      <c r="A13" s="160" t="s">
        <v>11</v>
      </c>
      <c r="B13" s="161" t="s">
        <v>12</v>
      </c>
      <c r="C13" s="158"/>
      <c r="D13" s="10">
        <v>0</v>
      </c>
    </row>
    <row r="14" spans="1:15" ht="16.5" thickBot="1" x14ac:dyDescent="0.3">
      <c r="A14" s="160" t="s">
        <v>13</v>
      </c>
      <c r="B14" s="161" t="s">
        <v>14</v>
      </c>
      <c r="C14" s="40">
        <v>30.45</v>
      </c>
      <c r="D14" s="10">
        <f>((D11+D12)/220*0.225)*C14</f>
        <v>35.246660783011357</v>
      </c>
      <c r="E14" s="344"/>
      <c r="F14" s="345"/>
      <c r="G14" s="345"/>
      <c r="H14" s="345"/>
      <c r="I14" s="345"/>
      <c r="J14" s="345"/>
      <c r="K14" s="345"/>
      <c r="L14" s="345"/>
      <c r="M14" s="345"/>
      <c r="N14" s="345"/>
      <c r="O14" s="345"/>
    </row>
    <row r="15" spans="1:15" ht="16.5" thickBot="1" x14ac:dyDescent="0.3">
      <c r="A15" s="160" t="s">
        <v>15</v>
      </c>
      <c r="B15" s="161" t="s">
        <v>16</v>
      </c>
      <c r="C15" s="158"/>
      <c r="D15" s="10">
        <f>PRODUCT(((C14/52.5)*60)-C14)*(((D11+D12)/220*1.225))</f>
        <v>27.414069497897714</v>
      </c>
      <c r="E15" s="344"/>
      <c r="F15" s="345"/>
      <c r="G15" s="345"/>
      <c r="H15" s="345"/>
      <c r="I15" s="345"/>
      <c r="J15" s="345"/>
      <c r="K15" s="345"/>
      <c r="L15" s="345"/>
      <c r="M15" s="345"/>
    </row>
    <row r="16" spans="1:15" ht="16.5" thickBot="1" x14ac:dyDescent="0.3">
      <c r="A16" s="160" t="s">
        <v>17</v>
      </c>
      <c r="B16" s="161" t="s">
        <v>19</v>
      </c>
      <c r="C16" s="158"/>
      <c r="D16" s="22">
        <v>-27.41</v>
      </c>
    </row>
    <row r="17" spans="1:4" ht="16.5" thickBot="1" x14ac:dyDescent="0.3">
      <c r="A17" s="324" t="s">
        <v>20</v>
      </c>
      <c r="B17" s="325"/>
      <c r="C17" s="158"/>
      <c r="D17" s="11">
        <f>SUM(D11:D15)+D16</f>
        <v>1167.0537402809089</v>
      </c>
    </row>
    <row r="18" spans="1:4" x14ac:dyDescent="0.25">
      <c r="A18" s="155"/>
      <c r="B18" s="155"/>
      <c r="C18" s="155"/>
      <c r="D18" s="155"/>
    </row>
    <row r="19" spans="1:4" x14ac:dyDescent="0.25">
      <c r="A19" s="155"/>
      <c r="B19" s="155"/>
      <c r="C19" s="155"/>
      <c r="D19" s="155"/>
    </row>
    <row r="20" spans="1:4" x14ac:dyDescent="0.25">
      <c r="A20" s="326" t="s">
        <v>21</v>
      </c>
      <c r="B20" s="326"/>
      <c r="C20" s="326"/>
      <c r="D20" s="326"/>
    </row>
    <row r="21" spans="1:4" x14ac:dyDescent="0.25">
      <c r="A21" s="162"/>
      <c r="B21" s="155"/>
      <c r="C21" s="155"/>
      <c r="D21" s="155"/>
    </row>
    <row r="22" spans="1:4" x14ac:dyDescent="0.25">
      <c r="A22" s="327" t="s">
        <v>22</v>
      </c>
      <c r="B22" s="327"/>
      <c r="C22" s="327"/>
      <c r="D22" s="327"/>
    </row>
    <row r="23" spans="1:4" ht="16.5" thickBot="1" x14ac:dyDescent="0.3">
      <c r="A23" s="155"/>
      <c r="B23" s="155"/>
      <c r="C23" s="155"/>
      <c r="D23" s="155"/>
    </row>
    <row r="24" spans="1:4" ht="34.15" customHeight="1" thickBot="1" x14ac:dyDescent="0.3">
      <c r="A24" s="156" t="s">
        <v>23</v>
      </c>
      <c r="B24" s="157" t="s">
        <v>24</v>
      </c>
      <c r="C24" s="158"/>
      <c r="D24" s="159" t="s">
        <v>6</v>
      </c>
    </row>
    <row r="25" spans="1:4" ht="16.5" thickBot="1" x14ac:dyDescent="0.3">
      <c r="A25" s="160" t="s">
        <v>7</v>
      </c>
      <c r="B25" s="161" t="s">
        <v>25</v>
      </c>
      <c r="C25" s="158"/>
      <c r="D25" s="163">
        <f>D17/12</f>
        <v>97.25447835674241</v>
      </c>
    </row>
    <row r="26" spans="1:4" ht="16.5" thickBot="1" x14ac:dyDescent="0.3">
      <c r="A26" s="160" t="s">
        <v>9</v>
      </c>
      <c r="B26" s="161" t="s">
        <v>26</v>
      </c>
      <c r="C26" s="158"/>
      <c r="D26" s="163">
        <f>(D17/12)+(D17*1/3/12)</f>
        <v>129.67263780898989</v>
      </c>
    </row>
    <row r="27" spans="1:4" ht="16.5" thickBot="1" x14ac:dyDescent="0.3">
      <c r="A27" s="324" t="s">
        <v>20</v>
      </c>
      <c r="B27" s="325"/>
      <c r="C27" s="158"/>
      <c r="D27" s="163">
        <f>SUM(D25:D26)</f>
        <v>226.92711616573229</v>
      </c>
    </row>
    <row r="28" spans="1:4" x14ac:dyDescent="0.25">
      <c r="A28" s="155"/>
      <c r="B28" s="155"/>
      <c r="C28" s="155"/>
      <c r="D28" s="155"/>
    </row>
    <row r="29" spans="1:4" x14ac:dyDescent="0.25">
      <c r="A29" s="155"/>
      <c r="B29" s="155"/>
      <c r="C29" s="155"/>
      <c r="D29" s="155"/>
    </row>
    <row r="30" spans="1:4" ht="32.25" customHeight="1" x14ac:dyDescent="0.25">
      <c r="A30" s="330" t="s">
        <v>27</v>
      </c>
      <c r="B30" s="330"/>
      <c r="C30" s="330"/>
      <c r="D30" s="330"/>
    </row>
    <row r="31" spans="1:4" ht="16.5" thickBot="1" x14ac:dyDescent="0.3">
      <c r="A31" s="155"/>
      <c r="B31" s="155"/>
      <c r="C31" s="155"/>
      <c r="D31" s="155"/>
    </row>
    <row r="32" spans="1:4" ht="32.25" thickBot="1" x14ac:dyDescent="0.3">
      <c r="A32" s="156" t="s">
        <v>28</v>
      </c>
      <c r="B32" s="159" t="s">
        <v>29</v>
      </c>
      <c r="C32" s="159" t="s">
        <v>30</v>
      </c>
      <c r="D32" s="159" t="s">
        <v>6</v>
      </c>
    </row>
    <row r="33" spans="1:4" ht="16.5" thickBot="1" x14ac:dyDescent="0.3">
      <c r="A33" s="160" t="s">
        <v>7</v>
      </c>
      <c r="B33" s="164" t="s">
        <v>31</v>
      </c>
      <c r="C33" s="24">
        <f>'CHEFE BRIG FOLGUISTA'!C33</f>
        <v>0.2</v>
      </c>
      <c r="D33" s="163">
        <f>($D$17*C33)+($D$27*C33)</f>
        <v>278.79617128932824</v>
      </c>
    </row>
    <row r="34" spans="1:4" ht="16.5" thickBot="1" x14ac:dyDescent="0.3">
      <c r="A34" s="160" t="s">
        <v>9</v>
      </c>
      <c r="B34" s="164" t="s">
        <v>32</v>
      </c>
      <c r="C34" s="24">
        <f>'CHEFE BRIG FOLGUISTA'!C34</f>
        <v>2.5000000000000001E-2</v>
      </c>
      <c r="D34" s="163">
        <f>($D$17*C34)+($D$27*C34)</f>
        <v>34.84952141116603</v>
      </c>
    </row>
    <row r="35" spans="1:4" ht="16.5" thickBot="1" x14ac:dyDescent="0.3">
      <c r="A35" s="160" t="s">
        <v>11</v>
      </c>
      <c r="B35" s="164" t="s">
        <v>33</v>
      </c>
      <c r="C35" s="24">
        <f>'CHEFE BRIG FOLGUISTA'!C35</f>
        <v>1.4999999999999999E-2</v>
      </c>
      <c r="D35" s="163">
        <f t="shared" ref="D35:D40" si="0">($D$17*C35)+($D$27*C35)</f>
        <v>20.909712846699616</v>
      </c>
    </row>
    <row r="36" spans="1:4" ht="16.5" thickBot="1" x14ac:dyDescent="0.3">
      <c r="A36" s="160" t="s">
        <v>13</v>
      </c>
      <c r="B36" s="164" t="s">
        <v>34</v>
      </c>
      <c r="C36" s="24">
        <f>'CHEFE BRIG FOLGUISTA'!C36</f>
        <v>1.4999999999999999E-2</v>
      </c>
      <c r="D36" s="163">
        <f t="shared" si="0"/>
        <v>20.909712846699616</v>
      </c>
    </row>
    <row r="37" spans="1:4" ht="16.5" thickBot="1" x14ac:dyDescent="0.3">
      <c r="A37" s="160" t="s">
        <v>15</v>
      </c>
      <c r="B37" s="164" t="s">
        <v>35</v>
      </c>
      <c r="C37" s="24">
        <f>'CHEFE BRIG FOLGUISTA'!C37</f>
        <v>0.01</v>
      </c>
      <c r="D37" s="163">
        <f t="shared" si="0"/>
        <v>13.939808564466411</v>
      </c>
    </row>
    <row r="38" spans="1:4" ht="16.5" thickBot="1" x14ac:dyDescent="0.3">
      <c r="A38" s="160" t="s">
        <v>17</v>
      </c>
      <c r="B38" s="164" t="s">
        <v>36</v>
      </c>
      <c r="C38" s="24">
        <f>'CHEFE BRIG FOLGUISTA'!C38</f>
        <v>6.0000000000000001E-3</v>
      </c>
      <c r="D38" s="163">
        <f t="shared" si="0"/>
        <v>8.3638851386798461</v>
      </c>
    </row>
    <row r="39" spans="1:4" ht="16.5" thickBot="1" x14ac:dyDescent="0.3">
      <c r="A39" s="160" t="s">
        <v>18</v>
      </c>
      <c r="B39" s="164" t="s">
        <v>37</v>
      </c>
      <c r="C39" s="24">
        <f>'CHEFE BRIG FOLGUISTA'!C39</f>
        <v>2E-3</v>
      </c>
      <c r="D39" s="163">
        <f t="shared" si="0"/>
        <v>2.7879617128932823</v>
      </c>
    </row>
    <row r="40" spans="1:4" ht="16.5" thickBot="1" x14ac:dyDescent="0.3">
      <c r="A40" s="160" t="s">
        <v>38</v>
      </c>
      <c r="B40" s="164" t="s">
        <v>39</v>
      </c>
      <c r="C40" s="24">
        <f>'CHEFE BRIG FOLGUISTA'!C40</f>
        <v>0.08</v>
      </c>
      <c r="D40" s="163">
        <f t="shared" si="0"/>
        <v>111.51846851573129</v>
      </c>
    </row>
    <row r="41" spans="1:4" ht="16.5" thickBot="1" x14ac:dyDescent="0.3">
      <c r="A41" s="324" t="s">
        <v>40</v>
      </c>
      <c r="B41" s="331"/>
      <c r="C41" s="165">
        <f>SUM(C33:C40)</f>
        <v>0.35300000000000004</v>
      </c>
      <c r="D41" s="163">
        <f>SUM(D33:D40)</f>
        <v>492.07524232566436</v>
      </c>
    </row>
    <row r="42" spans="1:4" x14ac:dyDescent="0.25">
      <c r="A42" s="155"/>
      <c r="B42" s="155"/>
      <c r="C42" s="155"/>
      <c r="D42" s="155"/>
    </row>
    <row r="43" spans="1:4" x14ac:dyDescent="0.25">
      <c r="A43" s="155"/>
      <c r="B43" s="155"/>
      <c r="C43" s="155"/>
      <c r="D43" s="155"/>
    </row>
    <row r="44" spans="1:4" x14ac:dyDescent="0.25">
      <c r="A44" s="327" t="s">
        <v>41</v>
      </c>
      <c r="B44" s="327"/>
      <c r="C44" s="327"/>
      <c r="D44" s="155"/>
    </row>
    <row r="45" spans="1:4" ht="16.5" thickBot="1" x14ac:dyDescent="0.3">
      <c r="A45" s="155"/>
      <c r="B45" s="155"/>
      <c r="C45" s="155"/>
      <c r="D45" s="155"/>
    </row>
    <row r="46" spans="1:4" ht="16.5" thickBot="1" x14ac:dyDescent="0.3">
      <c r="A46" s="156" t="s">
        <v>42</v>
      </c>
      <c r="B46" s="157" t="s">
        <v>43</v>
      </c>
      <c r="C46" s="188" t="s">
        <v>328</v>
      </c>
      <c r="D46" s="159" t="s">
        <v>6</v>
      </c>
    </row>
    <row r="47" spans="1:4" ht="61.15" customHeight="1" thickBot="1" x14ac:dyDescent="0.3">
      <c r="A47" s="160" t="s">
        <v>7</v>
      </c>
      <c r="B47" s="161" t="s">
        <v>44</v>
      </c>
      <c r="C47" s="26">
        <f>'CHEFE BRIG FOLGUISTA'!C47</f>
        <v>5.5</v>
      </c>
      <c r="D47" s="12">
        <f>IF((C47*2*4.35-6%*D11)&gt;0,(C47*2*4.35-6%*D11),0)</f>
        <v>0</v>
      </c>
    </row>
    <row r="48" spans="1:4" ht="75.599999999999994" customHeight="1" thickBot="1" x14ac:dyDescent="0.3">
      <c r="A48" s="160" t="s">
        <v>9</v>
      </c>
      <c r="B48" s="161" t="s">
        <v>45</v>
      </c>
      <c r="C48" s="41">
        <f>'CHEFE BRIG FOLGUISTA'!C48</f>
        <v>45.23</v>
      </c>
      <c r="D48" s="12">
        <f>IF((C48-0.3)*4.35 &lt; 0, "", (C48-0.3)*4.35)</f>
        <v>195.44549999999998</v>
      </c>
    </row>
    <row r="49" spans="1:4" ht="16.5" thickBot="1" x14ac:dyDescent="0.3">
      <c r="A49" s="160" t="s">
        <v>11</v>
      </c>
      <c r="B49" s="161" t="s">
        <v>320</v>
      </c>
      <c r="C49" s="158"/>
      <c r="D49" s="27">
        <f>'CHEFE BRIG FOLGUISTA'!D49</f>
        <v>184.55</v>
      </c>
    </row>
    <row r="50" spans="1:4" ht="16.5" thickBot="1" x14ac:dyDescent="0.3">
      <c r="A50" s="160" t="s">
        <v>13</v>
      </c>
      <c r="B50" s="161" t="s">
        <v>321</v>
      </c>
      <c r="C50" s="158"/>
      <c r="D50" s="27">
        <f>'CHEFE BRIG FOLGUISTA'!D50</f>
        <v>12.81</v>
      </c>
    </row>
    <row r="51" spans="1:4" ht="16.5" thickBot="1" x14ac:dyDescent="0.3">
      <c r="A51" s="160" t="s">
        <v>15</v>
      </c>
      <c r="B51" s="161" t="s">
        <v>325</v>
      </c>
      <c r="C51" s="158"/>
      <c r="D51" s="27"/>
    </row>
    <row r="52" spans="1:4" ht="16.5" thickBot="1" x14ac:dyDescent="0.3">
      <c r="A52" s="160" t="s">
        <v>17</v>
      </c>
      <c r="B52" s="161" t="s">
        <v>19</v>
      </c>
      <c r="C52" s="158"/>
      <c r="D52" s="27">
        <f>'CHEFE BRIG FOLGUISTA'!D52</f>
        <v>15.02</v>
      </c>
    </row>
    <row r="53" spans="1:4" ht="16.5" thickBot="1" x14ac:dyDescent="0.3">
      <c r="A53" s="324" t="s">
        <v>20</v>
      </c>
      <c r="B53" s="325"/>
      <c r="C53" s="158"/>
      <c r="D53" s="13">
        <f>SUM(D47:D52)</f>
        <v>407.82549999999998</v>
      </c>
    </row>
    <row r="54" spans="1:4" x14ac:dyDescent="0.25">
      <c r="A54" s="155"/>
      <c r="B54" s="155"/>
      <c r="C54" s="155"/>
      <c r="D54" s="155"/>
    </row>
    <row r="55" spans="1:4" x14ac:dyDescent="0.25">
      <c r="A55" s="155"/>
      <c r="B55" s="155"/>
      <c r="C55" s="155"/>
      <c r="D55" s="155"/>
    </row>
    <row r="56" spans="1:4" x14ac:dyDescent="0.25">
      <c r="A56" s="327" t="s">
        <v>46</v>
      </c>
      <c r="B56" s="327"/>
      <c r="C56" s="327"/>
      <c r="D56" s="327"/>
    </row>
    <row r="57" spans="1:4" ht="16.5" thickBot="1" x14ac:dyDescent="0.3">
      <c r="A57" s="155"/>
      <c r="B57" s="155"/>
      <c r="C57" s="155"/>
      <c r="D57" s="155"/>
    </row>
    <row r="58" spans="1:4" ht="16.5" thickBot="1" x14ac:dyDescent="0.3">
      <c r="A58" s="156">
        <v>2</v>
      </c>
      <c r="B58" s="157" t="s">
        <v>47</v>
      </c>
      <c r="C58" s="158"/>
      <c r="D58" s="159" t="s">
        <v>6</v>
      </c>
    </row>
    <row r="59" spans="1:4" ht="30.75" thickBot="1" x14ac:dyDescent="0.3">
      <c r="A59" s="160" t="s">
        <v>23</v>
      </c>
      <c r="B59" s="161" t="s">
        <v>24</v>
      </c>
      <c r="C59" s="158"/>
      <c r="D59" s="163">
        <f>D27</f>
        <v>226.92711616573229</v>
      </c>
    </row>
    <row r="60" spans="1:4" ht="16.5" thickBot="1" x14ac:dyDescent="0.3">
      <c r="A60" s="160" t="s">
        <v>28</v>
      </c>
      <c r="B60" s="161" t="s">
        <v>29</v>
      </c>
      <c r="C60" s="158"/>
      <c r="D60" s="163">
        <f>D41</f>
        <v>492.07524232566436</v>
      </c>
    </row>
    <row r="61" spans="1:4" ht="16.5" thickBot="1" x14ac:dyDescent="0.3">
      <c r="A61" s="160" t="s">
        <v>42</v>
      </c>
      <c r="B61" s="161" t="s">
        <v>43</v>
      </c>
      <c r="C61" s="158"/>
      <c r="D61" s="168">
        <f>D53</f>
        <v>407.82549999999998</v>
      </c>
    </row>
    <row r="62" spans="1:4" ht="16.5" thickBot="1" x14ac:dyDescent="0.3">
      <c r="A62" s="324" t="s">
        <v>20</v>
      </c>
      <c r="B62" s="325"/>
      <c r="C62" s="158"/>
      <c r="D62" s="163">
        <f>SUM(D59:D61)</f>
        <v>1126.8278584913967</v>
      </c>
    </row>
    <row r="63" spans="1:4" x14ac:dyDescent="0.25">
      <c r="A63" s="169"/>
      <c r="B63" s="155"/>
      <c r="C63" s="155"/>
      <c r="D63" s="155"/>
    </row>
    <row r="64" spans="1:4" x14ac:dyDescent="0.25">
      <c r="A64" s="155"/>
      <c r="B64" s="155"/>
      <c r="C64" s="155"/>
      <c r="D64" s="155"/>
    </row>
    <row r="65" spans="1:4" x14ac:dyDescent="0.25">
      <c r="A65" s="326" t="s">
        <v>48</v>
      </c>
      <c r="B65" s="326"/>
      <c r="C65" s="326"/>
      <c r="D65" s="155"/>
    </row>
    <row r="66" spans="1:4" ht="16.5" thickBot="1" x14ac:dyDescent="0.3">
      <c r="A66" s="155"/>
      <c r="B66" s="155"/>
      <c r="C66" s="155"/>
      <c r="D66" s="155"/>
    </row>
    <row r="67" spans="1:4" ht="16.5" thickBot="1" x14ac:dyDescent="0.3">
      <c r="A67" s="156">
        <v>3</v>
      </c>
      <c r="B67" s="157" t="s">
        <v>49</v>
      </c>
      <c r="C67" s="175" t="s">
        <v>50</v>
      </c>
      <c r="D67" s="159" t="s">
        <v>6</v>
      </c>
    </row>
    <row r="68" spans="1:4" ht="16.5" thickBot="1" x14ac:dyDescent="0.3">
      <c r="A68" s="160" t="s">
        <v>7</v>
      </c>
      <c r="B68" s="170" t="s">
        <v>51</v>
      </c>
      <c r="C68" s="28">
        <f>'CHEFE BRIG FOLGUISTA'!C68</f>
        <v>4.0000000000000002E-4</v>
      </c>
      <c r="D68" s="163">
        <f>(D17/12)*C68</f>
        <v>3.8901791342696966E-2</v>
      </c>
    </row>
    <row r="69" spans="1:4" ht="16.5" thickBot="1" x14ac:dyDescent="0.3">
      <c r="A69" s="160" t="s">
        <v>9</v>
      </c>
      <c r="B69" s="170" t="s">
        <v>52</v>
      </c>
      <c r="C69" s="158"/>
      <c r="D69" s="163">
        <f>(D68*C40)</f>
        <v>3.1121433074157573E-3</v>
      </c>
    </row>
    <row r="70" spans="1:4" ht="30.75" customHeight="1" thickBot="1" x14ac:dyDescent="0.3">
      <c r="A70" s="160" t="s">
        <v>11</v>
      </c>
      <c r="B70" s="170" t="s">
        <v>53</v>
      </c>
      <c r="C70" s="158"/>
      <c r="D70" s="171"/>
    </row>
    <row r="71" spans="1:4" ht="16.5" thickBot="1" x14ac:dyDescent="0.3">
      <c r="A71" s="160" t="s">
        <v>13</v>
      </c>
      <c r="B71" s="170" t="s">
        <v>54</v>
      </c>
      <c r="C71" s="29">
        <f>'CHEFE BRIG FOLGUISTA'!C71</f>
        <v>4.0000000000000002E-4</v>
      </c>
      <c r="D71" s="163">
        <f>(((D17/30)/12)*7)*C71</f>
        <v>9.0770846466292909E-3</v>
      </c>
    </row>
    <row r="72" spans="1:4" ht="30.75" thickBot="1" x14ac:dyDescent="0.3">
      <c r="A72" s="160" t="s">
        <v>15</v>
      </c>
      <c r="B72" s="170" t="s">
        <v>55</v>
      </c>
      <c r="C72" s="172"/>
      <c r="D72" s="173">
        <f>(D71*C41)</f>
        <v>3.2042108802601398E-3</v>
      </c>
    </row>
    <row r="73" spans="1:4" ht="30.75" thickBot="1" x14ac:dyDescent="0.3">
      <c r="A73" s="160" t="s">
        <v>17</v>
      </c>
      <c r="B73" s="170" t="s">
        <v>56</v>
      </c>
      <c r="C73" s="158"/>
      <c r="D73" s="174">
        <f>SUM(D74:D75)</f>
        <v>44.607387406292517</v>
      </c>
    </row>
    <row r="74" spans="1:4" ht="16.5" thickBot="1" x14ac:dyDescent="0.3">
      <c r="A74" s="175"/>
      <c r="B74" s="170" t="s">
        <v>39</v>
      </c>
      <c r="C74" s="14">
        <v>0.4</v>
      </c>
      <c r="D74" s="163">
        <f>((((D17+D25+D26)*C74))*C40)</f>
        <v>44.607387406292517</v>
      </c>
    </row>
    <row r="75" spans="1:4" ht="16.5" thickBot="1" x14ac:dyDescent="0.3">
      <c r="A75" s="175"/>
      <c r="B75" s="170" t="s">
        <v>57</v>
      </c>
      <c r="C75" s="15">
        <v>0</v>
      </c>
      <c r="D75" s="163">
        <f>((((D17+D25+D26)*C75))*C40)</f>
        <v>0</v>
      </c>
    </row>
    <row r="76" spans="1:4" ht="16.5" thickBot="1" x14ac:dyDescent="0.3">
      <c r="A76" s="324" t="s">
        <v>20</v>
      </c>
      <c r="B76" s="325"/>
      <c r="C76" s="158"/>
      <c r="D76" s="163">
        <f>D68+D69+D71+D72+D73</f>
        <v>44.661682636469521</v>
      </c>
    </row>
    <row r="77" spans="1:4" x14ac:dyDescent="0.25">
      <c r="A77" s="155"/>
      <c r="B77" s="155"/>
      <c r="C77" s="155"/>
      <c r="D77" s="155"/>
    </row>
    <row r="78" spans="1:4" x14ac:dyDescent="0.25">
      <c r="A78" s="155"/>
      <c r="B78" s="155"/>
      <c r="C78" s="155"/>
      <c r="D78" s="155"/>
    </row>
    <row r="79" spans="1:4" x14ac:dyDescent="0.25">
      <c r="A79" s="326" t="s">
        <v>58</v>
      </c>
      <c r="B79" s="326"/>
      <c r="C79" s="326"/>
      <c r="D79" s="155"/>
    </row>
    <row r="80" spans="1:4" x14ac:dyDescent="0.25">
      <c r="A80" s="155"/>
      <c r="B80" s="155"/>
      <c r="C80" s="155"/>
      <c r="D80" s="155"/>
    </row>
    <row r="81" spans="1:4" x14ac:dyDescent="0.25">
      <c r="A81" s="155"/>
      <c r="B81" s="155"/>
      <c r="C81" s="155"/>
      <c r="D81" s="155"/>
    </row>
    <row r="82" spans="1:4" x14ac:dyDescent="0.25">
      <c r="A82" s="327" t="s">
        <v>59</v>
      </c>
      <c r="B82" s="327"/>
      <c r="C82" s="327"/>
      <c r="D82" s="155"/>
    </row>
    <row r="83" spans="1:4" ht="16.5" thickBot="1" x14ac:dyDescent="0.3">
      <c r="A83" s="162"/>
      <c r="B83" s="155"/>
      <c r="C83" s="155"/>
      <c r="D83" s="155"/>
    </row>
    <row r="84" spans="1:4" ht="16.5" thickBot="1" x14ac:dyDescent="0.3">
      <c r="A84" s="156" t="s">
        <v>60</v>
      </c>
      <c r="B84" s="157" t="s">
        <v>61</v>
      </c>
      <c r="C84" s="176" t="s">
        <v>62</v>
      </c>
      <c r="D84" s="159" t="s">
        <v>6</v>
      </c>
    </row>
    <row r="85" spans="1:4" ht="16.5" thickBot="1" x14ac:dyDescent="0.3">
      <c r="A85" s="160" t="s">
        <v>7</v>
      </c>
      <c r="B85" s="161" t="s">
        <v>63</v>
      </c>
      <c r="C85" s="16">
        <v>30</v>
      </c>
      <c r="D85" s="163">
        <f>(($D$17+$D$27+$D$100+$D$122+$D$53+$D$68+$D$71-$D$47)/30)*C85/12</f>
        <v>154.22217304122182</v>
      </c>
    </row>
    <row r="86" spans="1:4" ht="16.5" thickBot="1" x14ac:dyDescent="0.3">
      <c r="A86" s="160" t="s">
        <v>9</v>
      </c>
      <c r="B86" s="161" t="s">
        <v>64</v>
      </c>
      <c r="C86" s="30">
        <f>'CHEFE BRIG FOLGUISTA'!C86</f>
        <v>0.02</v>
      </c>
      <c r="D86" s="163">
        <f>(($D$17+$D$27+$D$100+$D$122+$D$53+$D$68+$D$71-$D$47)/30)*C86/12</f>
        <v>0.10281478202748122</v>
      </c>
    </row>
    <row r="87" spans="1:4" ht="16.5" thickBot="1" x14ac:dyDescent="0.3">
      <c r="A87" s="160" t="s">
        <v>11</v>
      </c>
      <c r="B87" s="161" t="s">
        <v>65</v>
      </c>
      <c r="C87" s="30">
        <f>'CHEFE BRIG FOLGUISTA'!C87</f>
        <v>0.02</v>
      </c>
      <c r="D87" s="163">
        <f>(($D$17+$D$27+$D$100+$D$122+$D$53+$D$68+$D$71-$D$47)/30)*C87/12</f>
        <v>0.10281478202748122</v>
      </c>
    </row>
    <row r="88" spans="1:4" ht="30.75" thickBot="1" x14ac:dyDescent="0.3">
      <c r="A88" s="160" t="s">
        <v>13</v>
      </c>
      <c r="B88" s="161" t="s">
        <v>66</v>
      </c>
      <c r="C88" s="30">
        <f>'CHEFE BRIG FOLGUISTA'!C88</f>
        <v>0.02</v>
      </c>
      <c r="D88" s="163">
        <f>(($D$17+$D$27+$D$100+$D$122+$D$53+$D$68+$D$71-$D$47)/30)*C88/12</f>
        <v>0.10281478202748122</v>
      </c>
    </row>
    <row r="89" spans="1:4" ht="16.5" thickBot="1" x14ac:dyDescent="0.3">
      <c r="A89" s="160" t="s">
        <v>15</v>
      </c>
      <c r="B89" s="161" t="s">
        <v>67</v>
      </c>
      <c r="C89" s="17">
        <v>0</v>
      </c>
      <c r="D89" s="163">
        <f>D100</f>
        <v>0.14507450536475264</v>
      </c>
    </row>
    <row r="90" spans="1:4" ht="30.75" thickBot="1" x14ac:dyDescent="0.3">
      <c r="A90" s="160" t="s">
        <v>17</v>
      </c>
      <c r="B90" s="161" t="s">
        <v>68</v>
      </c>
      <c r="C90" s="30">
        <v>-15</v>
      </c>
      <c r="D90" s="163">
        <f>(($D$17+$D$27+$D$100+$D$122+$D$53+$D$68+$D$71-$D$47)/30)*C90/12</f>
        <v>-77.111086520610911</v>
      </c>
    </row>
    <row r="91" spans="1:4" ht="16.5" thickBot="1" x14ac:dyDescent="0.3">
      <c r="A91" s="324" t="s">
        <v>40</v>
      </c>
      <c r="B91" s="325"/>
      <c r="C91" s="158"/>
      <c r="D91" s="13">
        <f>SUM(D85:D90)-D89</f>
        <v>77.419530866693364</v>
      </c>
    </row>
    <row r="92" spans="1:4" x14ac:dyDescent="0.25">
      <c r="A92" s="155"/>
      <c r="B92" s="155"/>
      <c r="C92" s="155"/>
      <c r="D92" s="155"/>
    </row>
    <row r="93" spans="1:4" x14ac:dyDescent="0.25">
      <c r="A93" s="327" t="s">
        <v>69</v>
      </c>
      <c r="B93" s="327"/>
      <c r="C93" s="327"/>
      <c r="D93" s="155"/>
    </row>
    <row r="94" spans="1:4" ht="16.5" thickBot="1" x14ac:dyDescent="0.3">
      <c r="A94" s="155"/>
      <c r="B94" s="155"/>
      <c r="C94" s="155"/>
      <c r="D94" s="155"/>
    </row>
    <row r="95" spans="1:4" ht="16.5" thickBot="1" x14ac:dyDescent="0.3">
      <c r="A95" s="156" t="s">
        <v>70</v>
      </c>
      <c r="B95" s="157" t="s">
        <v>61</v>
      </c>
      <c r="C95" s="176" t="s">
        <v>50</v>
      </c>
      <c r="D95" s="159" t="s">
        <v>6</v>
      </c>
    </row>
    <row r="96" spans="1:4" ht="30.75" thickBot="1" x14ac:dyDescent="0.3">
      <c r="A96" s="160" t="s">
        <v>7</v>
      </c>
      <c r="B96" s="161" t="s">
        <v>71</v>
      </c>
      <c r="C96" s="29">
        <f>'CHEFE BRIG FOLGUISTA'!C96</f>
        <v>6.9999999999999999E-4</v>
      </c>
      <c r="D96" s="163">
        <f>(((D17+1/3*D17)*4/12))/12*C96</f>
        <v>3.0256948822097635E-2</v>
      </c>
    </row>
    <row r="97" spans="1:4" ht="45.75" thickBot="1" x14ac:dyDescent="0.3">
      <c r="A97" s="160" t="s">
        <v>9</v>
      </c>
      <c r="B97" s="161" t="s">
        <v>72</v>
      </c>
      <c r="C97" s="18">
        <v>0</v>
      </c>
      <c r="D97" s="163">
        <f>D96*C41</f>
        <v>1.0680702934200466E-2</v>
      </c>
    </row>
    <row r="98" spans="1:4" ht="45.75" thickBot="1" x14ac:dyDescent="0.3">
      <c r="A98" s="160" t="s">
        <v>11</v>
      </c>
      <c r="B98" s="161" t="s">
        <v>73</v>
      </c>
      <c r="C98" s="18">
        <v>0</v>
      </c>
      <c r="D98" s="163">
        <f>(((D17+D17/12)*(4/12)*C96)*C41)</f>
        <v>0.10413685360845452</v>
      </c>
    </row>
    <row r="99" spans="1:4" ht="16.5" thickBot="1" x14ac:dyDescent="0.3">
      <c r="A99" s="160" t="s">
        <v>13</v>
      </c>
      <c r="B99" s="161" t="s">
        <v>74</v>
      </c>
      <c r="C99" s="18">
        <v>0</v>
      </c>
      <c r="D99" s="163">
        <v>0</v>
      </c>
    </row>
    <row r="100" spans="1:4" ht="16.5" thickBot="1" x14ac:dyDescent="0.3">
      <c r="A100" s="160"/>
      <c r="B100" s="161" t="s">
        <v>75</v>
      </c>
      <c r="C100" s="18"/>
      <c r="D100" s="163">
        <f>SUM(D96:D99)</f>
        <v>0.14507450536475264</v>
      </c>
    </row>
    <row r="101" spans="1:4" x14ac:dyDescent="0.25">
      <c r="A101" s="155"/>
      <c r="B101" s="155"/>
      <c r="C101" s="155"/>
      <c r="D101" s="155"/>
    </row>
    <row r="102" spans="1:4" x14ac:dyDescent="0.25">
      <c r="A102" s="155"/>
      <c r="B102" s="155"/>
      <c r="C102" s="155"/>
      <c r="D102" s="155"/>
    </row>
    <row r="103" spans="1:4" x14ac:dyDescent="0.25">
      <c r="A103" s="327" t="s">
        <v>76</v>
      </c>
      <c r="B103" s="327"/>
      <c r="C103" s="327"/>
      <c r="D103" s="155"/>
    </row>
    <row r="104" spans="1:4" ht="16.5" thickBot="1" x14ac:dyDescent="0.3">
      <c r="A104" s="162"/>
      <c r="B104" s="155"/>
      <c r="C104" s="155"/>
      <c r="D104" s="155"/>
    </row>
    <row r="105" spans="1:4" ht="16.5" thickBot="1" x14ac:dyDescent="0.3">
      <c r="A105" s="156" t="s">
        <v>77</v>
      </c>
      <c r="B105" s="157" t="s">
        <v>78</v>
      </c>
      <c r="C105" s="158"/>
      <c r="D105" s="159" t="s">
        <v>6</v>
      </c>
    </row>
    <row r="106" spans="1:4" ht="30.75" thickBot="1" x14ac:dyDescent="0.3">
      <c r="A106" s="160" t="s">
        <v>7</v>
      </c>
      <c r="B106" s="161" t="s">
        <v>79</v>
      </c>
      <c r="C106" s="158"/>
      <c r="D106" s="171"/>
    </row>
    <row r="107" spans="1:4" ht="16.5" thickBot="1" x14ac:dyDescent="0.3">
      <c r="A107" s="324" t="s">
        <v>20</v>
      </c>
      <c r="B107" s="325"/>
      <c r="C107" s="158"/>
      <c r="D107" s="13">
        <f>D106</f>
        <v>0</v>
      </c>
    </row>
    <row r="108" spans="1:4" x14ac:dyDescent="0.25">
      <c r="A108" s="155"/>
      <c r="B108" s="155"/>
      <c r="C108" s="155"/>
      <c r="D108" s="155"/>
    </row>
    <row r="109" spans="1:4" x14ac:dyDescent="0.25">
      <c r="A109" s="155"/>
      <c r="B109" s="155"/>
      <c r="C109" s="155"/>
      <c r="D109" s="155"/>
    </row>
    <row r="110" spans="1:4" x14ac:dyDescent="0.25">
      <c r="A110" s="327" t="s">
        <v>80</v>
      </c>
      <c r="B110" s="327"/>
      <c r="C110" s="327"/>
      <c r="D110" s="155"/>
    </row>
    <row r="111" spans="1:4" ht="16.5" thickBot="1" x14ac:dyDescent="0.3">
      <c r="A111" s="162"/>
      <c r="B111" s="155"/>
      <c r="C111" s="155"/>
      <c r="D111" s="155"/>
    </row>
    <row r="112" spans="1:4" ht="16.5" thickBot="1" x14ac:dyDescent="0.3">
      <c r="A112" s="156">
        <v>4</v>
      </c>
      <c r="B112" s="157" t="s">
        <v>81</v>
      </c>
      <c r="C112" s="158"/>
      <c r="D112" s="159" t="s">
        <v>6</v>
      </c>
    </row>
    <row r="113" spans="1:4" ht="16.5" thickBot="1" x14ac:dyDescent="0.3">
      <c r="A113" s="160" t="s">
        <v>60</v>
      </c>
      <c r="B113" s="161" t="s">
        <v>82</v>
      </c>
      <c r="C113" s="158"/>
      <c r="D113" s="168">
        <f>D91</f>
        <v>77.419530866693364</v>
      </c>
    </row>
    <row r="114" spans="1:4" ht="16.5" thickBot="1" x14ac:dyDescent="0.3">
      <c r="A114" s="160" t="s">
        <v>70</v>
      </c>
      <c r="B114" s="161" t="s">
        <v>83</v>
      </c>
      <c r="C114" s="158"/>
      <c r="D114" s="168">
        <f>D100</f>
        <v>0.14507450536475264</v>
      </c>
    </row>
    <row r="115" spans="1:4" ht="16.5" thickBot="1" x14ac:dyDescent="0.3">
      <c r="A115" s="160" t="s">
        <v>77</v>
      </c>
      <c r="B115" s="161" t="s">
        <v>84</v>
      </c>
      <c r="C115" s="158"/>
      <c r="D115" s="168">
        <f>D107</f>
        <v>0</v>
      </c>
    </row>
    <row r="116" spans="1:4" ht="16.5" thickBot="1" x14ac:dyDescent="0.3">
      <c r="A116" s="324" t="s">
        <v>20</v>
      </c>
      <c r="B116" s="325"/>
      <c r="C116" s="158"/>
      <c r="D116" s="13">
        <f>SUM(D113:D115)</f>
        <v>77.564605372058111</v>
      </c>
    </row>
    <row r="117" spans="1:4" x14ac:dyDescent="0.25">
      <c r="A117" s="155"/>
      <c r="B117" s="155"/>
      <c r="C117" s="155"/>
      <c r="D117" s="155"/>
    </row>
    <row r="118" spans="1:4" x14ac:dyDescent="0.25">
      <c r="A118" s="155"/>
      <c r="B118" s="155"/>
      <c r="C118" s="155"/>
      <c r="D118" s="155"/>
    </row>
    <row r="119" spans="1:4" x14ac:dyDescent="0.25">
      <c r="A119" s="326" t="s">
        <v>85</v>
      </c>
      <c r="B119" s="326"/>
      <c r="C119" s="326"/>
      <c r="D119" s="155"/>
    </row>
    <row r="120" spans="1:4" ht="16.5" thickBot="1" x14ac:dyDescent="0.3">
      <c r="A120" s="155"/>
      <c r="B120" s="155"/>
      <c r="C120" s="155"/>
      <c r="D120" s="155"/>
    </row>
    <row r="121" spans="1:4" ht="16.5" thickBot="1" x14ac:dyDescent="0.3">
      <c r="A121" s="156">
        <v>5</v>
      </c>
      <c r="B121" s="177" t="s">
        <v>86</v>
      </c>
      <c r="C121" s="158"/>
      <c r="D121" s="159" t="s">
        <v>6</v>
      </c>
    </row>
    <row r="122" spans="1:4" ht="16.5" thickBot="1" x14ac:dyDescent="0.3">
      <c r="A122" s="160" t="s">
        <v>7</v>
      </c>
      <c r="B122" s="161" t="s">
        <v>87</v>
      </c>
      <c r="C122" s="158"/>
      <c r="D122" s="19">
        <f>UNIFORMES!F16</f>
        <v>48.666666666666664</v>
      </c>
    </row>
    <row r="123" spans="1:4" ht="16.5" thickBot="1" x14ac:dyDescent="0.3">
      <c r="A123" s="160" t="s">
        <v>9</v>
      </c>
      <c r="B123" s="161" t="s">
        <v>88</v>
      </c>
      <c r="C123" s="158"/>
      <c r="D123" s="38"/>
    </row>
    <row r="124" spans="1:4" ht="16.5" thickBot="1" x14ac:dyDescent="0.3">
      <c r="A124" s="160" t="s">
        <v>11</v>
      </c>
      <c r="B124" s="161" t="s">
        <v>19</v>
      </c>
      <c r="C124" s="158"/>
      <c r="D124" s="27">
        <v>0</v>
      </c>
    </row>
    <row r="125" spans="1:4" ht="16.5" thickBot="1" x14ac:dyDescent="0.3">
      <c r="A125" s="324" t="s">
        <v>40</v>
      </c>
      <c r="B125" s="325"/>
      <c r="C125" s="158"/>
      <c r="D125" s="13">
        <f>SUM(D122:D124)</f>
        <v>48.666666666666664</v>
      </c>
    </row>
    <row r="126" spans="1:4" x14ac:dyDescent="0.25">
      <c r="A126" s="155"/>
      <c r="B126" s="155"/>
      <c r="C126" s="155"/>
      <c r="D126" s="155"/>
    </row>
    <row r="127" spans="1:4" x14ac:dyDescent="0.25">
      <c r="A127" s="155"/>
      <c r="B127" s="155"/>
      <c r="C127" s="155"/>
      <c r="D127" s="155"/>
    </row>
    <row r="128" spans="1:4" x14ac:dyDescent="0.25">
      <c r="A128" s="326" t="s">
        <v>89</v>
      </c>
      <c r="B128" s="326"/>
      <c r="C128" s="326"/>
      <c r="D128" s="155"/>
    </row>
    <row r="129" spans="1:4" ht="16.5" thickBot="1" x14ac:dyDescent="0.3">
      <c r="A129" s="155"/>
      <c r="B129" s="155"/>
      <c r="C129" s="155"/>
      <c r="D129" s="155"/>
    </row>
    <row r="130" spans="1:4" ht="32.25" thickBot="1" x14ac:dyDescent="0.3">
      <c r="A130" s="156">
        <v>6</v>
      </c>
      <c r="B130" s="178" t="s">
        <v>90</v>
      </c>
      <c r="C130" s="159" t="s">
        <v>30</v>
      </c>
      <c r="D130" s="159" t="s">
        <v>6</v>
      </c>
    </row>
    <row r="131" spans="1:4" ht="16.5" thickBot="1" x14ac:dyDescent="0.3">
      <c r="A131" s="160" t="s">
        <v>7</v>
      </c>
      <c r="B131" s="164" t="s">
        <v>91</v>
      </c>
      <c r="C131" s="31">
        <f>'CHEFE BRIG FOLGUISTA'!C131</f>
        <v>2.385265E-2</v>
      </c>
      <c r="D131" s="163">
        <f>(D17+D62+D76+D116+D125)*C131</f>
        <v>58.791404752289495</v>
      </c>
    </row>
    <row r="132" spans="1:4" ht="16.5" thickBot="1" x14ac:dyDescent="0.3">
      <c r="A132" s="160" t="s">
        <v>9</v>
      </c>
      <c r="B132" s="164" t="s">
        <v>92</v>
      </c>
      <c r="C132" s="31">
        <f>'CHEFE BRIG FOLGUISTA'!C132</f>
        <v>0.02</v>
      </c>
      <c r="D132" s="163">
        <f>(D17+D62+D76+D116+D125+D131)*C132</f>
        <v>50.47131916399578</v>
      </c>
    </row>
    <row r="133" spans="1:4" ht="16.5" thickBot="1" x14ac:dyDescent="0.3">
      <c r="A133" s="160" t="s">
        <v>11</v>
      </c>
      <c r="B133" s="164" t="s">
        <v>93</v>
      </c>
      <c r="C133" s="20">
        <f>1-(SUM(C134:C136))</f>
        <v>0.91349999999999998</v>
      </c>
      <c r="D133" s="179">
        <f>(D17+D62+D76+D116+D125+D131+D132)/C133</f>
        <v>2817.7747973330975</v>
      </c>
    </row>
    <row r="134" spans="1:4" ht="16.5" thickBot="1" x14ac:dyDescent="0.3">
      <c r="A134" s="160"/>
      <c r="B134" s="164" t="s">
        <v>94</v>
      </c>
      <c r="C134" s="31">
        <f>'CHEFE BRIG FOLGUISTA'!C134</f>
        <v>3.6499999999999998E-2</v>
      </c>
      <c r="D134" s="163">
        <f>D133*C134</f>
        <v>102.84878010265805</v>
      </c>
    </row>
    <row r="135" spans="1:4" ht="16.5" thickBot="1" x14ac:dyDescent="0.3">
      <c r="A135" s="160"/>
      <c r="B135" s="164" t="s">
        <v>95</v>
      </c>
      <c r="C135" s="31">
        <f>'CHEFE BRIG FOLGUISTA'!C135</f>
        <v>0</v>
      </c>
      <c r="D135" s="163">
        <f>D133*C135</f>
        <v>0</v>
      </c>
    </row>
    <row r="136" spans="1:4" ht="16.5" thickBot="1" x14ac:dyDescent="0.3">
      <c r="A136" s="160"/>
      <c r="B136" s="164" t="s">
        <v>96</v>
      </c>
      <c r="C136" s="31">
        <f>'CHEFE BRIG FOLGUISTA'!C136</f>
        <v>0.05</v>
      </c>
      <c r="D136" s="163">
        <f>D133*C136</f>
        <v>140.88873986665487</v>
      </c>
    </row>
    <row r="137" spans="1:4" ht="16.5" thickBot="1" x14ac:dyDescent="0.3">
      <c r="A137" s="324" t="s">
        <v>40</v>
      </c>
      <c r="B137" s="331"/>
      <c r="C137" s="171"/>
      <c r="D137" s="163">
        <f>D131+D132+D134+D135+D136</f>
        <v>353.00024388559819</v>
      </c>
    </row>
    <row r="138" spans="1:4" x14ac:dyDescent="0.25">
      <c r="A138" s="155"/>
      <c r="B138" s="155"/>
      <c r="C138" s="155"/>
      <c r="D138" s="155"/>
    </row>
    <row r="139" spans="1:4" x14ac:dyDescent="0.25">
      <c r="A139" s="155"/>
      <c r="B139" s="155"/>
      <c r="C139" s="155"/>
      <c r="D139" s="155"/>
    </row>
    <row r="140" spans="1:4" x14ac:dyDescent="0.25">
      <c r="A140" s="326" t="s">
        <v>97</v>
      </c>
      <c r="B140" s="326"/>
      <c r="C140" s="326"/>
      <c r="D140" s="155"/>
    </row>
    <row r="141" spans="1:4" ht="16.5" thickBot="1" x14ac:dyDescent="0.3">
      <c r="A141" s="155"/>
      <c r="B141" s="155"/>
      <c r="C141" s="155"/>
      <c r="D141" s="155"/>
    </row>
    <row r="142" spans="1:4" ht="32.25" thickBot="1" x14ac:dyDescent="0.3">
      <c r="A142" s="156"/>
      <c r="B142" s="157" t="s">
        <v>98</v>
      </c>
      <c r="C142" s="158"/>
      <c r="D142" s="159" t="s">
        <v>6</v>
      </c>
    </row>
    <row r="143" spans="1:4" ht="16.5" thickBot="1" x14ac:dyDescent="0.3">
      <c r="A143" s="181" t="s">
        <v>7</v>
      </c>
      <c r="B143" s="161" t="s">
        <v>4</v>
      </c>
      <c r="C143" s="158"/>
      <c r="D143" s="182">
        <f>D17</f>
        <v>1167.0537402809089</v>
      </c>
    </row>
    <row r="144" spans="1:4" ht="30.75" thickBot="1" x14ac:dyDescent="0.3">
      <c r="A144" s="181" t="s">
        <v>9</v>
      </c>
      <c r="B144" s="161" t="s">
        <v>21</v>
      </c>
      <c r="C144" s="158"/>
      <c r="D144" s="183">
        <f>D62</f>
        <v>1126.8278584913967</v>
      </c>
    </row>
    <row r="145" spans="1:4" ht="16.5" thickBot="1" x14ac:dyDescent="0.3">
      <c r="A145" s="181" t="s">
        <v>11</v>
      </c>
      <c r="B145" s="161" t="s">
        <v>48</v>
      </c>
      <c r="C145" s="158"/>
      <c r="D145" s="183">
        <f>D76</f>
        <v>44.661682636469521</v>
      </c>
    </row>
    <row r="146" spans="1:4" ht="30.75" thickBot="1" x14ac:dyDescent="0.3">
      <c r="A146" s="181" t="s">
        <v>13</v>
      </c>
      <c r="B146" s="161" t="s">
        <v>58</v>
      </c>
      <c r="C146" s="158"/>
      <c r="D146" s="182">
        <f>D116</f>
        <v>77.564605372058111</v>
      </c>
    </row>
    <row r="147" spans="1:4" ht="16.5" thickBot="1" x14ac:dyDescent="0.3">
      <c r="A147" s="181" t="s">
        <v>15</v>
      </c>
      <c r="B147" s="161" t="s">
        <v>85</v>
      </c>
      <c r="C147" s="158"/>
      <c r="D147" s="182">
        <f>D125</f>
        <v>48.666666666666664</v>
      </c>
    </row>
    <row r="148" spans="1:4" ht="16.5" customHeight="1" thickBot="1" x14ac:dyDescent="0.3">
      <c r="A148" s="324" t="s">
        <v>99</v>
      </c>
      <c r="B148" s="325"/>
      <c r="C148" s="158"/>
      <c r="D148" s="182">
        <f>SUM(D143:D147)</f>
        <v>2464.7745534474993</v>
      </c>
    </row>
    <row r="149" spans="1:4" ht="16.5" thickBot="1" x14ac:dyDescent="0.3">
      <c r="A149" s="181" t="s">
        <v>17</v>
      </c>
      <c r="B149" s="161" t="s">
        <v>100</v>
      </c>
      <c r="C149" s="158"/>
      <c r="D149" s="183">
        <f>D137</f>
        <v>353.00024388559819</v>
      </c>
    </row>
    <row r="150" spans="1:4" ht="16.5" customHeight="1" thickBot="1" x14ac:dyDescent="0.3">
      <c r="A150" s="321" t="s">
        <v>103</v>
      </c>
      <c r="B150" s="322"/>
      <c r="C150" s="323"/>
      <c r="D150" s="184">
        <f>SUM(D148:D149)</f>
        <v>2817.7747973330975</v>
      </c>
    </row>
  </sheetData>
  <sheetProtection algorithmName="SHA-512" hashValue="PuHIvCLEOF7cdX0aYb6fKmX+Qm92fURlb6qhLwGwF+d20EWMntZkH2MKlRGZRgpSE8X3QxB7zGeU1ZWrJlmoDQ==" saltValue="nocuORb0v7fS24r9Cafpjw==" spinCount="100000" sheet="1" objects="1" scenarios="1"/>
  <mergeCells count="37">
    <mergeCell ref="A148:B148"/>
    <mergeCell ref="A150:C150"/>
    <mergeCell ref="A110:C110"/>
    <mergeCell ref="A116:B116"/>
    <mergeCell ref="A119:C119"/>
    <mergeCell ref="A125:B125"/>
    <mergeCell ref="A128:C128"/>
    <mergeCell ref="A137:B137"/>
    <mergeCell ref="A91:B91"/>
    <mergeCell ref="A93:C93"/>
    <mergeCell ref="A2:D3"/>
    <mergeCell ref="A56:D56"/>
    <mergeCell ref="A140:C140"/>
    <mergeCell ref="A107:B107"/>
    <mergeCell ref="A44:C44"/>
    <mergeCell ref="A53:B53"/>
    <mergeCell ref="A62:B62"/>
    <mergeCell ref="A65:C65"/>
    <mergeCell ref="A103:C103"/>
    <mergeCell ref="A41:B41"/>
    <mergeCell ref="A4:B4"/>
    <mergeCell ref="C4:D4"/>
    <mergeCell ref="A5:D5"/>
    <mergeCell ref="A6:D6"/>
    <mergeCell ref="A76:B76"/>
    <mergeCell ref="A79:C79"/>
    <mergeCell ref="A82:C82"/>
    <mergeCell ref="A7:D7"/>
    <mergeCell ref="A8:D8"/>
    <mergeCell ref="A17:B17"/>
    <mergeCell ref="A20:D20"/>
    <mergeCell ref="A22:D22"/>
    <mergeCell ref="E11:N11"/>
    <mergeCell ref="E14:O14"/>
    <mergeCell ref="E15:M15"/>
    <mergeCell ref="A27:B27"/>
    <mergeCell ref="A30:D30"/>
  </mergeCells>
  <pageMargins left="0.511811024" right="0.511811024" top="0.78740157499999996" bottom="0.78740157499999996" header="0.31496062000000002" footer="0.31496062000000002"/>
  <pageSetup paperSize="9"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133E19AB1242E47B6C1C2503482A35F" ma:contentTypeVersion="19" ma:contentTypeDescription="Crie um novo documento." ma:contentTypeScope="" ma:versionID="1d1b129a4c0bb455cb782556c69d2b9e">
  <xsd:schema xmlns:xsd="http://www.w3.org/2001/XMLSchema" xmlns:xs="http://www.w3.org/2001/XMLSchema" xmlns:p="http://schemas.microsoft.com/office/2006/metadata/properties" xmlns:ns2="332c770e-1d78-4349-9c33-cc6a9a6364d1" xmlns:ns3="b8b50597-cfc3-4088-9356-be59cd896f24" targetNamespace="http://schemas.microsoft.com/office/2006/metadata/properties" ma:root="true" ma:fieldsID="4653cc963de00ea3b097384bb79aa120" ns2:_="" ns3:_="">
    <xsd:import namespace="332c770e-1d78-4349-9c33-cc6a9a6364d1"/>
    <xsd:import namespace="b8b50597-cfc3-4088-9356-be59cd896f24"/>
    <xsd:element name="properties">
      <xsd:complexType>
        <xsd:sequence>
          <xsd:element name="documentManagement">
            <xsd:complexType>
              <xsd:all>
                <xsd:element ref="ns2:MediaServiceMetadata" minOccurs="0"/>
                <xsd:element ref="ns2:MediaServiceFastMetadata" minOccurs="0"/>
                <xsd:element ref="ns2:Data" minOccurs="0"/>
                <xsd:element ref="ns2:Data_x002f_Hor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2c770e-1d78-4349-9c33-cc6a9a6364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a" ma:index="10" nillable="true" ma:displayName="Data" ma:default="[today]" ma:format="DateOnly" ma:internalName="Data">
      <xsd:simpleType>
        <xsd:restriction base="dms:DateTime"/>
      </xsd:simpleType>
    </xsd:element>
    <xsd:element name="Data_x002f_Hora" ma:index="11" nillable="true" ma:displayName="Data/Hora" ma:format="DateTime" ma:internalName="Data_x002f_Hora">
      <xsd:simpleType>
        <xsd:restriction base="dms:DateTim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31efe01-5009-42b4-8d6a-39df1145a1bf" ma:termSetId="09814cd3-568e-fe90-9814-8d621ff8fb84" ma:anchorId="fba54fb3-c3e1-fe81-a776-ca4b69148c4d" ma:open="true" ma:isKeyword="false">
      <xsd:complexType>
        <xsd:sequence>
          <xsd:element ref="pc:Terms" minOccurs="0" maxOccurs="1"/>
        </xsd:sequence>
      </xsd:complexType>
    </xsd:element>
    <xsd:element name="MediaServiceLocation" ma:index="24" nillable="true" ma:displayName="Location" ma:description="" ma:indexed="true" ma:internalName="MediaServiceLocation" ma:readOnly="true">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8b50597-cfc3-4088-9356-be59cd896f24"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32c770e-1d78-4349-9c33-cc6a9a6364d1">
      <Terms xmlns="http://schemas.microsoft.com/office/infopath/2007/PartnerControls"/>
    </lcf76f155ced4ddcb4097134ff3c332f>
    <Data xmlns="332c770e-1d78-4349-9c33-cc6a9a6364d1">2024-01-24T18:33:10+00:00</Data>
    <Data_x002f_Hora xmlns="332c770e-1d78-4349-9c33-cc6a9a6364d1" xsi:nil="true"/>
  </documentManagement>
</p:properties>
</file>

<file path=customXml/itemProps1.xml><?xml version="1.0" encoding="utf-8"?>
<ds:datastoreItem xmlns:ds="http://schemas.openxmlformats.org/officeDocument/2006/customXml" ds:itemID="{50235342-E34D-436E-8EAC-1D5321AC318C}">
  <ds:schemaRefs>
    <ds:schemaRef ds:uri="http://schemas.microsoft.com/sharepoint/v3/contenttype/forms"/>
  </ds:schemaRefs>
</ds:datastoreItem>
</file>

<file path=customXml/itemProps2.xml><?xml version="1.0" encoding="utf-8"?>
<ds:datastoreItem xmlns:ds="http://schemas.openxmlformats.org/officeDocument/2006/customXml" ds:itemID="{5867CBC0-5682-4236-921E-C632B0F865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2c770e-1d78-4349-9c33-cc6a9a6364d1"/>
    <ds:schemaRef ds:uri="b8b50597-cfc3-4088-9356-be59cd896f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D6AA1F1-B00E-4097-B988-606756F2891E}">
  <ds:schemaRefs>
    <ds:schemaRef ds:uri="b8b50597-cfc3-4088-9356-be59cd896f24"/>
    <ds:schemaRef ds:uri="http://purl.org/dc/terms/"/>
    <ds:schemaRef ds:uri="http://purl.org/dc/elements/1.1/"/>
    <ds:schemaRef ds:uri="http://schemas.microsoft.com/office/2006/metadata/propertie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332c770e-1d78-4349-9c33-cc6a9a6364d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1</vt:i4>
      </vt:variant>
    </vt:vector>
  </HeadingPairs>
  <TitlesOfParts>
    <vt:vector size="14" baseType="lpstr">
      <vt:lpstr>Proposta</vt:lpstr>
      <vt:lpstr>TOTAL IN 05</vt:lpstr>
      <vt:lpstr>RESERVA MENSAL IN 05</vt:lpstr>
      <vt:lpstr>CHEFE BRIG 12X36</vt:lpstr>
      <vt:lpstr>CHEFE BRIG FOLGUISTA</vt:lpstr>
      <vt:lpstr>BP 12X36 DIURNO</vt:lpstr>
      <vt:lpstr>BP DIURNO FOLGUISTA</vt:lpstr>
      <vt:lpstr>BP 12X36 NOTURNO</vt:lpstr>
      <vt:lpstr>BP NOTURNO FOLGUISTA</vt:lpstr>
      <vt:lpstr>TREINAMENTOS</vt:lpstr>
      <vt:lpstr>UNIFORMES</vt:lpstr>
      <vt:lpstr>EQUIPAMENTOS</vt:lpstr>
      <vt:lpstr>MATERIAIS</vt:lpstr>
      <vt:lpstr>Proposta!Area_de_impressao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Fabricio Salles da Costa - DATAPREVRJ</dc:creator>
  <cp:keywords/>
  <dc:description/>
  <cp:lastModifiedBy>Luciene Cruz</cp:lastModifiedBy>
  <cp:revision/>
  <cp:lastPrinted>2024-05-28T14:12:05Z</cp:lastPrinted>
  <dcterms:created xsi:type="dcterms:W3CDTF">2017-04-11T17:58:31Z</dcterms:created>
  <dcterms:modified xsi:type="dcterms:W3CDTF">2024-05-28T20:49:40Z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cf76f155ced4ddcb4097134ff3c332f">
    <vt:lpwstr/>
  </property>
  <property fmtid="{D5CDD505-2E9C-101B-9397-08002B2CF9AE}" pid="3" name="Data/Hora">
    <vt:lpwstr/>
  </property>
  <property fmtid="{D5CDD505-2E9C-101B-9397-08002B2CF9AE}" pid="4" name="MediaServiceImageTags">
    <vt:lpwstr/>
  </property>
  <property fmtid="{D5CDD505-2E9C-101B-9397-08002B2CF9AE}" pid="5" name="ContentTypeId">
    <vt:lpwstr>0x0101003133E19AB1242E47B6C1C2503482A35F</vt:lpwstr>
  </property>
</Properties>
</file>